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05" yWindow="-105" windowWidth="20730" windowHeight="11760" tabRatio="619" activeTab="3"/>
  </bookViews>
  <sheets>
    <sheet name="Fluxo e Duração do Passivo" sheetId="11" r:id="rId1"/>
    <sheet name="Anexo 1 - Despesa com Pessoal " sheetId="7" r:id="rId2"/>
    <sheet name="01- Histórico" sheetId="8" r:id="rId3"/>
    <sheet name="02 - Projeções" sheetId="9" r:id="rId4"/>
    <sheet name="03 - Indicadores " sheetId="10" r:id="rId5"/>
  </sheets>
  <externalReferences>
    <externalReference r:id="rId6"/>
  </externalReferences>
  <definedNames>
    <definedName name="\p">#N/A</definedName>
    <definedName name="\s">#N/A</definedName>
    <definedName name="a">#REF!,#REF!</definedName>
    <definedName name="AREA">#N/A</definedName>
    <definedName name="_xlnm.Print_Area" localSheetId="2">'01- Histórico'!$A$16:$C$28</definedName>
    <definedName name="_xlnm.Print_Area" localSheetId="3">'02 - Projeções'!$A$6:$K$43</definedName>
    <definedName name="BALA">#N/A</definedName>
    <definedName name="e">#REF!,#REF!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3">#REF!,#REF!</definedName>
    <definedName name="Planilha_1ÁreaTotal" localSheetId="1">#REF!,#REF!</definedName>
    <definedName name="Planilha_1ÁreaTotal">#REF!,#REF!</definedName>
    <definedName name="Planilha_1CabGráfico" localSheetId="3">#REF!</definedName>
    <definedName name="Planilha_1CabGráfico" localSheetId="1">#REF!</definedName>
    <definedName name="Planilha_1CabGráfico">#REF!</definedName>
    <definedName name="Planilha_1TítCols" localSheetId="3">#REF!,#REF!</definedName>
    <definedName name="Planilha_1TítCols" localSheetId="1">#REF!,#REF!</definedName>
    <definedName name="Planilha_1TítCols">#REF!,#REF!</definedName>
    <definedName name="Planilha_1TítLins" localSheetId="3">#REF!</definedName>
    <definedName name="Planilha_1TítLins" localSheetId="1">#REF!</definedName>
    <definedName name="Planilha_1TítLins">#REF!</definedName>
    <definedName name="Planilha_2ÁreaTotal" localSheetId="3">#REF!,#REF!</definedName>
    <definedName name="Planilha_2ÁreaTotal" localSheetId="1">#REF!,#REF!</definedName>
    <definedName name="Planilha_2ÁreaTotal">#REF!,#REF!</definedName>
    <definedName name="Planilha_2CabGráfico" localSheetId="3">#REF!</definedName>
    <definedName name="Planilha_2CabGráfico" localSheetId="1">#REF!</definedName>
    <definedName name="Planilha_2CabGráfico">#REF!</definedName>
    <definedName name="Planilha_2TítCols" localSheetId="3">#REF!,#REF!</definedName>
    <definedName name="Planilha_2TítCols" localSheetId="1">#REF!,#REF!</definedName>
    <definedName name="Planilha_2TítCols">#REF!,#REF!</definedName>
    <definedName name="Planilha_2TítLins" localSheetId="3">#REF!</definedName>
    <definedName name="Planilha_2TítLins" localSheetId="1">#REF!</definedName>
    <definedName name="Planilha_2TítLins">#REF!</definedName>
    <definedName name="Planilha_3ÁreaTotal" localSheetId="3">#REF!,#REF!</definedName>
    <definedName name="Planilha_3ÁreaTotal" localSheetId="1">#REF!,#REF!</definedName>
    <definedName name="Planilha_3ÁreaTotal">#REF!,#REF!</definedName>
    <definedName name="Planilha_3CabGráfico" localSheetId="3">#REF!</definedName>
    <definedName name="Planilha_3CabGráfico" localSheetId="1">#REF!</definedName>
    <definedName name="Planilha_3CabGráfico">#REF!</definedName>
    <definedName name="Planilha_3TítCols" localSheetId="3">#REF!,#REF!</definedName>
    <definedName name="Planilha_3TítCols" localSheetId="1">#REF!,#REF!</definedName>
    <definedName name="Planilha_3TítCols">#REF!,#REF!</definedName>
    <definedName name="Planilha_3TítLins" localSheetId="3">#REF!</definedName>
    <definedName name="Planilha_3TítLins" localSheetId="1">#REF!</definedName>
    <definedName name="Planilha_3TítLins">#REF!</definedName>
    <definedName name="Planilha_4ÁreaTotal" localSheetId="3">#REF!,#REF!</definedName>
    <definedName name="Planilha_4ÁreaTotal" localSheetId="1">#REF!,#REF!</definedName>
    <definedName name="Planilha_4ÁreaTotal">#REF!,#REF!</definedName>
    <definedName name="Planilha_4TítCols" localSheetId="3">#REF!,#REF!</definedName>
    <definedName name="Planilha_4TítCols" localSheetId="1">#REF!,#REF!</definedName>
    <definedName name="Planilha_4TítCols">#REF!,#REF!</definedName>
    <definedName name="_xlnm.Print_Titles" localSheetId="2">'01- Histórico'!$16:$17</definedName>
    <definedName name="_xlnm.Print_Titles" localSheetId="3">'02 - Projeções'!$6:$7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8" l="1"/>
  <c r="B14" i="8"/>
  <c r="G5" i="9"/>
  <c r="C10" i="8" l="1"/>
  <c r="C9" i="8"/>
  <c r="C28" i="8" l="1"/>
  <c r="F4" i="7" l="1"/>
  <c r="F6" i="7"/>
  <c r="AQ13" i="11" l="1"/>
  <c r="AQ17" i="11"/>
  <c r="AQ18" i="11"/>
  <c r="AQ21" i="11"/>
  <c r="AQ24" i="11"/>
  <c r="AQ25" i="11"/>
  <c r="AQ26" i="11"/>
  <c r="AQ29" i="11"/>
  <c r="AQ33" i="11"/>
  <c r="AQ34" i="11"/>
  <c r="AQ37" i="11"/>
  <c r="AQ40" i="11"/>
  <c r="AQ41" i="11"/>
  <c r="AQ42" i="11"/>
  <c r="AQ45" i="11"/>
  <c r="AQ48" i="11"/>
  <c r="AQ49" i="11"/>
  <c r="AQ50" i="11"/>
  <c r="AQ53" i="11"/>
  <c r="AQ56" i="11"/>
  <c r="AQ57" i="11"/>
  <c r="AQ58" i="11"/>
  <c r="AQ61" i="11"/>
  <c r="AQ64" i="11"/>
  <c r="AQ65" i="11"/>
  <c r="AQ66" i="11"/>
  <c r="AQ69" i="11"/>
  <c r="AQ72" i="11"/>
  <c r="AQ73" i="11"/>
  <c r="AQ74" i="11"/>
  <c r="AQ78" i="11"/>
  <c r="AQ80" i="11"/>
  <c r="AQ82" i="11"/>
  <c r="AQ83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10" i="11"/>
  <c r="BO9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10" i="11"/>
  <c r="AQ14" i="11"/>
  <c r="AQ22" i="11"/>
  <c r="AQ30" i="11"/>
  <c r="AQ38" i="11"/>
  <c r="AQ46" i="11"/>
  <c r="AQ54" i="11"/>
  <c r="AQ62" i="11"/>
  <c r="AQ70" i="11"/>
  <c r="AQ77" i="11"/>
  <c r="AQ81" i="11"/>
  <c r="AQ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10" i="11"/>
  <c r="AI77" i="11"/>
  <c r="AI78" i="11"/>
  <c r="AI79" i="11"/>
  <c r="AI80" i="11"/>
  <c r="AI81" i="11"/>
  <c r="AI82" i="11"/>
  <c r="AI83" i="11"/>
  <c r="AI84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10" i="11"/>
  <c r="AQ76" i="11" l="1"/>
  <c r="AQ44" i="11"/>
  <c r="AQ28" i="11"/>
  <c r="AQ84" i="11"/>
  <c r="AQ75" i="11"/>
  <c r="AQ67" i="11"/>
  <c r="AQ59" i="11"/>
  <c r="AQ51" i="11"/>
  <c r="AQ43" i="11"/>
  <c r="AQ35" i="11"/>
  <c r="AQ27" i="11"/>
  <c r="AQ19" i="11"/>
  <c r="AQ11" i="11"/>
  <c r="AQ68" i="11"/>
  <c r="AQ60" i="11"/>
  <c r="AQ52" i="11"/>
  <c r="AQ36" i="11"/>
  <c r="AQ32" i="11"/>
  <c r="AQ20" i="11"/>
  <c r="AQ79" i="11"/>
  <c r="AQ16" i="11"/>
  <c r="AQ12" i="11"/>
  <c r="AQ71" i="11"/>
  <c r="AQ63" i="11"/>
  <c r="AQ55" i="11"/>
  <c r="AQ47" i="11"/>
  <c r="AQ39" i="11"/>
  <c r="AQ31" i="11"/>
  <c r="AQ23" i="11"/>
  <c r="AQ15" i="11"/>
  <c r="B11" i="8"/>
  <c r="F5" i="7" l="1"/>
  <c r="I9" i="9" l="1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I8" i="9"/>
  <c r="H8" i="9"/>
  <c r="E8" i="9"/>
  <c r="BI160" i="11"/>
  <c r="BH160" i="11"/>
  <c r="BG160" i="11"/>
  <c r="BF160" i="11"/>
  <c r="BE160" i="11"/>
  <c r="BD160" i="11"/>
  <c r="BC160" i="11"/>
  <c r="BB160" i="11"/>
  <c r="BA160" i="11"/>
  <c r="AY160" i="11"/>
  <c r="AX160" i="11"/>
  <c r="AW160" i="11"/>
  <c r="AV160" i="11"/>
  <c r="AU160" i="11"/>
  <c r="AT160" i="11"/>
  <c r="AQ160" i="11"/>
  <c r="AP160" i="11"/>
  <c r="AO160" i="11"/>
  <c r="AN160" i="11"/>
  <c r="AM160" i="11"/>
  <c r="AL160" i="11"/>
  <c r="AK160" i="11"/>
  <c r="AJ160" i="11"/>
  <c r="AI160" i="11"/>
  <c r="AG160" i="11"/>
  <c r="AF160" i="11"/>
  <c r="AE160" i="11"/>
  <c r="AD160" i="11"/>
  <c r="AB160" i="11"/>
  <c r="AA160" i="11"/>
  <c r="Z160" i="11"/>
  <c r="Y160" i="11"/>
  <c r="X160" i="11"/>
  <c r="W160" i="11"/>
  <c r="V160" i="11"/>
  <c r="T160" i="11"/>
  <c r="S160" i="11"/>
  <c r="R160" i="11"/>
  <c r="Q160" i="11"/>
  <c r="P160" i="11"/>
  <c r="O160" i="11"/>
  <c r="N160" i="11"/>
  <c r="L160" i="11"/>
  <c r="K160" i="11"/>
  <c r="J160" i="11"/>
  <c r="I160" i="11"/>
  <c r="H160" i="11"/>
  <c r="G160" i="11"/>
  <c r="E160" i="11"/>
  <c r="BM159" i="11"/>
  <c r="AZ159" i="11"/>
  <c r="AS159" i="11"/>
  <c r="AH159" i="11"/>
  <c r="AC159" i="11"/>
  <c r="U159" i="11"/>
  <c r="M159" i="11"/>
  <c r="F159" i="11"/>
  <c r="BM158" i="11"/>
  <c r="AZ158" i="11"/>
  <c r="BJ158" i="11" s="1"/>
  <c r="AS158" i="11"/>
  <c r="AH158" i="11"/>
  <c r="AC158" i="11"/>
  <c r="U158" i="11"/>
  <c r="M158" i="11"/>
  <c r="F158" i="11"/>
  <c r="BM157" i="11"/>
  <c r="BJ157" i="11"/>
  <c r="AZ157" i="11"/>
  <c r="AS157" i="11"/>
  <c r="AH157" i="11"/>
  <c r="AC157" i="11"/>
  <c r="U157" i="11"/>
  <c r="M157" i="11"/>
  <c r="F157" i="11"/>
  <c r="BM156" i="11"/>
  <c r="AZ156" i="11"/>
  <c r="AS156" i="11"/>
  <c r="AH156" i="11"/>
  <c r="AC156" i="11"/>
  <c r="U156" i="11"/>
  <c r="M156" i="11"/>
  <c r="F156" i="11"/>
  <c r="BM155" i="11"/>
  <c r="AZ155" i="11"/>
  <c r="AS155" i="11"/>
  <c r="AH155" i="11"/>
  <c r="AC155" i="11"/>
  <c r="U155" i="11"/>
  <c r="M155" i="11"/>
  <c r="F155" i="11"/>
  <c r="BM154" i="11"/>
  <c r="AZ154" i="11"/>
  <c r="AS154" i="11"/>
  <c r="AH154" i="11"/>
  <c r="AC154" i="11"/>
  <c r="U154" i="11"/>
  <c r="M154" i="11"/>
  <c r="AR154" i="11" s="1"/>
  <c r="F154" i="11"/>
  <c r="BM153" i="11"/>
  <c r="AZ153" i="11"/>
  <c r="AS153" i="11"/>
  <c r="AH153" i="11"/>
  <c r="AC153" i="11"/>
  <c r="U153" i="11"/>
  <c r="M153" i="11"/>
  <c r="F153" i="11"/>
  <c r="BM152" i="11"/>
  <c r="AZ152" i="11"/>
  <c r="AS152" i="11"/>
  <c r="AH152" i="11"/>
  <c r="AC152" i="11"/>
  <c r="U152" i="11"/>
  <c r="M152" i="11"/>
  <c r="F152" i="11"/>
  <c r="BM151" i="11"/>
  <c r="AZ151" i="11"/>
  <c r="AS151" i="11"/>
  <c r="AH151" i="11"/>
  <c r="AC151" i="11"/>
  <c r="U151" i="11"/>
  <c r="M151" i="11"/>
  <c r="F151" i="11"/>
  <c r="BM150" i="11"/>
  <c r="AZ150" i="11"/>
  <c r="AS150" i="11"/>
  <c r="AH150" i="11"/>
  <c r="AC150" i="11"/>
  <c r="U150" i="11"/>
  <c r="M150" i="11"/>
  <c r="F150" i="11"/>
  <c r="BM149" i="11"/>
  <c r="AZ149" i="11"/>
  <c r="AS149" i="11"/>
  <c r="AH149" i="11"/>
  <c r="AC149" i="11"/>
  <c r="U149" i="11"/>
  <c r="M149" i="11"/>
  <c r="F149" i="11"/>
  <c r="BM148" i="11"/>
  <c r="AZ148" i="11"/>
  <c r="AS148" i="11"/>
  <c r="AH148" i="11"/>
  <c r="AC148" i="11"/>
  <c r="U148" i="11"/>
  <c r="M148" i="11"/>
  <c r="F148" i="11"/>
  <c r="BM147" i="11"/>
  <c r="AZ147" i="11"/>
  <c r="AS147" i="11"/>
  <c r="AH147" i="11"/>
  <c r="AC147" i="11"/>
  <c r="U147" i="11"/>
  <c r="M147" i="11"/>
  <c r="F147" i="11"/>
  <c r="BM146" i="11"/>
  <c r="AZ146" i="11"/>
  <c r="AS146" i="11"/>
  <c r="AH146" i="11"/>
  <c r="AC146" i="11"/>
  <c r="U146" i="11"/>
  <c r="M146" i="11"/>
  <c r="F146" i="11"/>
  <c r="BM145" i="11"/>
  <c r="AZ145" i="11"/>
  <c r="BJ145" i="11" s="1"/>
  <c r="AS145" i="11"/>
  <c r="AH145" i="11"/>
  <c r="AC145" i="11"/>
  <c r="U145" i="11"/>
  <c r="M145" i="11"/>
  <c r="F145" i="11"/>
  <c r="BM144" i="11"/>
  <c r="AZ144" i="11"/>
  <c r="AS144" i="11"/>
  <c r="AH144" i="11"/>
  <c r="AC144" i="11"/>
  <c r="U144" i="11"/>
  <c r="M144" i="11"/>
  <c r="F144" i="11"/>
  <c r="BM143" i="11"/>
  <c r="AZ143" i="11"/>
  <c r="AS143" i="11"/>
  <c r="AH143" i="11"/>
  <c r="AC143" i="11"/>
  <c r="U143" i="11"/>
  <c r="M143" i="11"/>
  <c r="F143" i="11"/>
  <c r="BM142" i="11"/>
  <c r="AZ142" i="11"/>
  <c r="AS142" i="11"/>
  <c r="AH142" i="11"/>
  <c r="AC142" i="11"/>
  <c r="U142" i="11"/>
  <c r="M142" i="11"/>
  <c r="F142" i="11"/>
  <c r="BM141" i="11"/>
  <c r="AZ141" i="11"/>
  <c r="AS141" i="11"/>
  <c r="AH141" i="11"/>
  <c r="AC141" i="11"/>
  <c r="U141" i="11"/>
  <c r="M141" i="11"/>
  <c r="F141" i="11"/>
  <c r="BM140" i="11"/>
  <c r="AZ140" i="11"/>
  <c r="AS140" i="11"/>
  <c r="AH140" i="11"/>
  <c r="AC140" i="11"/>
  <c r="U140" i="11"/>
  <c r="M140" i="11"/>
  <c r="F140" i="11"/>
  <c r="BM139" i="11"/>
  <c r="AZ139" i="11"/>
  <c r="AS139" i="11"/>
  <c r="AH139" i="11"/>
  <c r="AC139" i="11"/>
  <c r="U139" i="11"/>
  <c r="M139" i="11"/>
  <c r="F139" i="11"/>
  <c r="BM138" i="11"/>
  <c r="AZ138" i="11"/>
  <c r="AS138" i="11"/>
  <c r="AH138" i="11"/>
  <c r="AC138" i="11"/>
  <c r="U138" i="11"/>
  <c r="M138" i="11"/>
  <c r="F138" i="11"/>
  <c r="BM137" i="11"/>
  <c r="AZ137" i="11"/>
  <c r="AS137" i="11"/>
  <c r="AH137" i="11"/>
  <c r="AC137" i="11"/>
  <c r="U137" i="11"/>
  <c r="M137" i="11"/>
  <c r="F137" i="11"/>
  <c r="BM136" i="11"/>
  <c r="AZ136" i="11"/>
  <c r="AS136" i="11"/>
  <c r="AH136" i="11"/>
  <c r="AC136" i="11"/>
  <c r="U136" i="11"/>
  <c r="M136" i="11"/>
  <c r="F136" i="11"/>
  <c r="BM135" i="11"/>
  <c r="AZ135" i="11"/>
  <c r="AS135" i="11"/>
  <c r="AH135" i="11"/>
  <c r="AC135" i="11"/>
  <c r="U135" i="11"/>
  <c r="M135" i="11"/>
  <c r="F135" i="11"/>
  <c r="BM134" i="11"/>
  <c r="AZ134" i="11"/>
  <c r="AS134" i="11"/>
  <c r="AH134" i="11"/>
  <c r="AC134" i="11"/>
  <c r="U134" i="11"/>
  <c r="M134" i="11"/>
  <c r="F134" i="11"/>
  <c r="BM133" i="11"/>
  <c r="AZ133" i="11"/>
  <c r="AS133" i="11"/>
  <c r="AH133" i="11"/>
  <c r="AC133" i="11"/>
  <c r="U133" i="11"/>
  <c r="M133" i="11"/>
  <c r="F133" i="11"/>
  <c r="BM132" i="11"/>
  <c r="AZ132" i="11"/>
  <c r="AS132" i="11"/>
  <c r="AH132" i="11"/>
  <c r="AC132" i="11"/>
  <c r="U132" i="11"/>
  <c r="M132" i="11"/>
  <c r="F132" i="11"/>
  <c r="BM131" i="11"/>
  <c r="AZ131" i="11"/>
  <c r="AS131" i="11"/>
  <c r="AH131" i="11"/>
  <c r="AC131" i="11"/>
  <c r="U131" i="11"/>
  <c r="M131" i="11"/>
  <c r="F131" i="11"/>
  <c r="BM130" i="11"/>
  <c r="AZ130" i="11"/>
  <c r="AS130" i="11"/>
  <c r="AH130" i="11"/>
  <c r="AC130" i="11"/>
  <c r="U130" i="11"/>
  <c r="M130" i="11"/>
  <c r="F130" i="11"/>
  <c r="BM129" i="11"/>
  <c r="AZ129" i="11"/>
  <c r="AS129" i="11"/>
  <c r="AH129" i="11"/>
  <c r="AC129" i="11"/>
  <c r="U129" i="11"/>
  <c r="M129" i="11"/>
  <c r="F129" i="11"/>
  <c r="BM128" i="11"/>
  <c r="AZ128" i="11"/>
  <c r="AS128" i="11"/>
  <c r="AH128" i="11"/>
  <c r="AC128" i="11"/>
  <c r="U128" i="11"/>
  <c r="M128" i="11"/>
  <c r="F128" i="11"/>
  <c r="BM127" i="11"/>
  <c r="AZ127" i="11"/>
  <c r="AS127" i="11"/>
  <c r="AH127" i="11"/>
  <c r="AC127" i="11"/>
  <c r="U127" i="11"/>
  <c r="M127" i="11"/>
  <c r="F127" i="11"/>
  <c r="BM126" i="11"/>
  <c r="AZ126" i="11"/>
  <c r="AS126" i="11"/>
  <c r="AH126" i="11"/>
  <c r="AC126" i="11"/>
  <c r="U126" i="11"/>
  <c r="M126" i="11"/>
  <c r="F126" i="11"/>
  <c r="BM125" i="11"/>
  <c r="AZ125" i="11"/>
  <c r="AS125" i="11"/>
  <c r="AH125" i="11"/>
  <c r="AC125" i="11"/>
  <c r="U125" i="11"/>
  <c r="M125" i="11"/>
  <c r="F125" i="11"/>
  <c r="BM124" i="11"/>
  <c r="AZ124" i="11"/>
  <c r="AS124" i="11"/>
  <c r="AH124" i="11"/>
  <c r="AC124" i="11"/>
  <c r="U124" i="11"/>
  <c r="M124" i="11"/>
  <c r="F124" i="11"/>
  <c r="BM123" i="11"/>
  <c r="AZ123" i="11"/>
  <c r="AS123" i="11"/>
  <c r="AH123" i="11"/>
  <c r="AC123" i="11"/>
  <c r="U123" i="11"/>
  <c r="M123" i="11"/>
  <c r="F123" i="11"/>
  <c r="BM122" i="11"/>
  <c r="AZ122" i="11"/>
  <c r="AS122" i="11"/>
  <c r="AH122" i="11"/>
  <c r="AC122" i="11"/>
  <c r="U122" i="11"/>
  <c r="M122" i="11"/>
  <c r="F122" i="11"/>
  <c r="BM121" i="11"/>
  <c r="AZ121" i="11"/>
  <c r="AS121" i="11"/>
  <c r="AH121" i="11"/>
  <c r="AC121" i="11"/>
  <c r="U121" i="11"/>
  <c r="M121" i="11"/>
  <c r="F121" i="11"/>
  <c r="BM120" i="11"/>
  <c r="AZ120" i="11"/>
  <c r="AS120" i="11"/>
  <c r="AH120" i="11"/>
  <c r="AC120" i="11"/>
  <c r="U120" i="11"/>
  <c r="M120" i="11"/>
  <c r="F120" i="11"/>
  <c r="BM119" i="11"/>
  <c r="AZ119" i="11"/>
  <c r="AS119" i="11"/>
  <c r="AH119" i="11"/>
  <c r="AC119" i="11"/>
  <c r="U119" i="11"/>
  <c r="M119" i="11"/>
  <c r="F119" i="11"/>
  <c r="BM118" i="11"/>
  <c r="AZ118" i="11"/>
  <c r="AS118" i="11"/>
  <c r="AH118" i="11"/>
  <c r="AC118" i="11"/>
  <c r="U118" i="11"/>
  <c r="M118" i="11"/>
  <c r="F118" i="11"/>
  <c r="BM117" i="11"/>
  <c r="AZ117" i="11"/>
  <c r="AS117" i="11"/>
  <c r="AH117" i="11"/>
  <c r="AC117" i="11"/>
  <c r="U117" i="11"/>
  <c r="M117" i="11"/>
  <c r="F117" i="11"/>
  <c r="BM116" i="11"/>
  <c r="AZ116" i="11"/>
  <c r="AS116" i="11"/>
  <c r="AH116" i="11"/>
  <c r="AC116" i="11"/>
  <c r="U116" i="11"/>
  <c r="M116" i="11"/>
  <c r="F116" i="11"/>
  <c r="BM115" i="11"/>
  <c r="AZ115" i="11"/>
  <c r="AS115" i="11"/>
  <c r="AH115" i="11"/>
  <c r="AC115" i="11"/>
  <c r="U115" i="11"/>
  <c r="M115" i="11"/>
  <c r="F115" i="11"/>
  <c r="BM114" i="11"/>
  <c r="AZ114" i="11"/>
  <c r="AS114" i="11"/>
  <c r="AH114" i="11"/>
  <c r="AC114" i="11"/>
  <c r="U114" i="11"/>
  <c r="M114" i="11"/>
  <c r="F114" i="11"/>
  <c r="BM113" i="11"/>
  <c r="AZ113" i="11"/>
  <c r="AS113" i="11"/>
  <c r="AH113" i="11"/>
  <c r="AC113" i="11"/>
  <c r="U113" i="11"/>
  <c r="M113" i="11"/>
  <c r="F113" i="11"/>
  <c r="BM112" i="11"/>
  <c r="AZ112" i="11"/>
  <c r="AS112" i="11"/>
  <c r="AH112" i="11"/>
  <c r="AC112" i="11"/>
  <c r="U112" i="11"/>
  <c r="M112" i="11"/>
  <c r="F112" i="11"/>
  <c r="BM111" i="11"/>
  <c r="AZ111" i="11"/>
  <c r="AS111" i="11"/>
  <c r="BJ111" i="11" s="1"/>
  <c r="AH111" i="11"/>
  <c r="AC111" i="11"/>
  <c r="U111" i="11"/>
  <c r="AR111" i="11" s="1"/>
  <c r="M111" i="11"/>
  <c r="F111" i="11"/>
  <c r="BM110" i="11"/>
  <c r="AZ110" i="11"/>
  <c r="AS110" i="11"/>
  <c r="AH110" i="11"/>
  <c r="AC110" i="11"/>
  <c r="U110" i="11"/>
  <c r="M110" i="11"/>
  <c r="F110" i="11"/>
  <c r="BM109" i="11"/>
  <c r="AZ109" i="11"/>
  <c r="AS109" i="11"/>
  <c r="AH109" i="11"/>
  <c r="AC109" i="11"/>
  <c r="U109" i="11"/>
  <c r="M109" i="11"/>
  <c r="F109" i="11"/>
  <c r="BM108" i="11"/>
  <c r="AZ108" i="11"/>
  <c r="AS108" i="11"/>
  <c r="AH108" i="11"/>
  <c r="AC108" i="11"/>
  <c r="U108" i="11"/>
  <c r="M108" i="11"/>
  <c r="F108" i="11"/>
  <c r="BM107" i="11"/>
  <c r="AZ107" i="11"/>
  <c r="AS107" i="11"/>
  <c r="AH107" i="11"/>
  <c r="AC107" i="11"/>
  <c r="U107" i="11"/>
  <c r="AR107" i="11" s="1"/>
  <c r="M107" i="11"/>
  <c r="F107" i="11"/>
  <c r="BM106" i="11"/>
  <c r="AZ106" i="11"/>
  <c r="AS106" i="11"/>
  <c r="AH106" i="11"/>
  <c r="AC106" i="11"/>
  <c r="U106" i="11"/>
  <c r="M106" i="11"/>
  <c r="F106" i="11"/>
  <c r="BM105" i="11"/>
  <c r="AZ105" i="11"/>
  <c r="AS105" i="11"/>
  <c r="AH105" i="11"/>
  <c r="AC105" i="11"/>
  <c r="U105" i="11"/>
  <c r="M105" i="11"/>
  <c r="F105" i="11"/>
  <c r="BM104" i="11"/>
  <c r="AZ104" i="11"/>
  <c r="AS104" i="11"/>
  <c r="AH104" i="11"/>
  <c r="AC104" i="11"/>
  <c r="U104" i="11"/>
  <c r="M104" i="11"/>
  <c r="F104" i="11"/>
  <c r="BM103" i="11"/>
  <c r="AZ103" i="11"/>
  <c r="AS103" i="11"/>
  <c r="AH103" i="11"/>
  <c r="AC103" i="11"/>
  <c r="U103" i="11"/>
  <c r="M103" i="11"/>
  <c r="F103" i="11"/>
  <c r="BM102" i="11"/>
  <c r="AZ102" i="11"/>
  <c r="AS102" i="11"/>
  <c r="BJ102" i="11" s="1"/>
  <c r="AH102" i="11"/>
  <c r="AC102" i="11"/>
  <c r="U102" i="11"/>
  <c r="M102" i="11"/>
  <c r="AR102" i="11" s="1"/>
  <c r="F102" i="11"/>
  <c r="BM101" i="11"/>
  <c r="AZ101" i="11"/>
  <c r="AS101" i="11"/>
  <c r="AH101" i="11"/>
  <c r="AC101" i="11"/>
  <c r="U101" i="11"/>
  <c r="M101" i="11"/>
  <c r="F101" i="11"/>
  <c r="BM100" i="11"/>
  <c r="AZ100" i="11"/>
  <c r="AS100" i="11"/>
  <c r="AH100" i="11"/>
  <c r="AC100" i="11"/>
  <c r="U100" i="11"/>
  <c r="M100" i="11"/>
  <c r="F100" i="11"/>
  <c r="BM99" i="11"/>
  <c r="AZ99" i="11"/>
  <c r="AS99" i="11"/>
  <c r="AH99" i="11"/>
  <c r="AC99" i="11"/>
  <c r="U99" i="11"/>
  <c r="M99" i="11"/>
  <c r="F99" i="11"/>
  <c r="BM98" i="11"/>
  <c r="AZ98" i="11"/>
  <c r="AS98" i="11"/>
  <c r="AH98" i="11"/>
  <c r="AC98" i="11"/>
  <c r="U98" i="11"/>
  <c r="M98" i="11"/>
  <c r="F98" i="11"/>
  <c r="BM97" i="11"/>
  <c r="AZ97" i="11"/>
  <c r="AS97" i="11"/>
  <c r="AH97" i="11"/>
  <c r="AC97" i="11"/>
  <c r="U97" i="11"/>
  <c r="M97" i="11"/>
  <c r="F97" i="11"/>
  <c r="BM96" i="11"/>
  <c r="AZ96" i="11"/>
  <c r="AS96" i="11"/>
  <c r="AH96" i="11"/>
  <c r="AC96" i="11"/>
  <c r="U96" i="11"/>
  <c r="AR96" i="11" s="1"/>
  <c r="M96" i="11"/>
  <c r="F96" i="11"/>
  <c r="BM95" i="11"/>
  <c r="AZ95" i="11"/>
  <c r="AS95" i="11"/>
  <c r="AH95" i="11"/>
  <c r="AC95" i="11"/>
  <c r="U95" i="11"/>
  <c r="M95" i="11"/>
  <c r="F95" i="11"/>
  <c r="BM94" i="11"/>
  <c r="AZ94" i="11"/>
  <c r="AS94" i="11"/>
  <c r="AH94" i="11"/>
  <c r="AC94" i="11"/>
  <c r="U94" i="11"/>
  <c r="M94" i="11"/>
  <c r="F94" i="11"/>
  <c r="BM93" i="11"/>
  <c r="AZ93" i="11"/>
  <c r="AS93" i="11"/>
  <c r="AH93" i="11"/>
  <c r="AC93" i="11"/>
  <c r="U93" i="11"/>
  <c r="M93" i="11"/>
  <c r="F93" i="11"/>
  <c r="BM92" i="11"/>
  <c r="AZ92" i="11"/>
  <c r="AS92" i="11"/>
  <c r="AH92" i="11"/>
  <c r="AC92" i="11"/>
  <c r="U92" i="11"/>
  <c r="M92" i="11"/>
  <c r="F92" i="11"/>
  <c r="BM91" i="11"/>
  <c r="AZ91" i="11"/>
  <c r="AS91" i="11"/>
  <c r="AH91" i="11"/>
  <c r="AC91" i="11"/>
  <c r="U91" i="11"/>
  <c r="M91" i="11"/>
  <c r="F91" i="11"/>
  <c r="BM90" i="11"/>
  <c r="AZ90" i="11"/>
  <c r="AS90" i="11"/>
  <c r="AH90" i="11"/>
  <c r="AC90" i="11"/>
  <c r="U90" i="11"/>
  <c r="M90" i="11"/>
  <c r="F90" i="11"/>
  <c r="BM89" i="11"/>
  <c r="AZ89" i="11"/>
  <c r="AS89" i="11"/>
  <c r="AH89" i="11"/>
  <c r="AC89" i="11"/>
  <c r="U89" i="11"/>
  <c r="M89" i="11"/>
  <c r="F89" i="11"/>
  <c r="BM88" i="11"/>
  <c r="AZ88" i="11"/>
  <c r="AS88" i="11"/>
  <c r="AH88" i="11"/>
  <c r="AC88" i="11"/>
  <c r="U88" i="11"/>
  <c r="M88" i="11"/>
  <c r="F88" i="11"/>
  <c r="BM87" i="11"/>
  <c r="AZ87" i="11"/>
  <c r="AS87" i="11"/>
  <c r="AH87" i="11"/>
  <c r="AC87" i="11"/>
  <c r="U87" i="11"/>
  <c r="M87" i="11"/>
  <c r="AR87" i="11" s="1"/>
  <c r="F87" i="11"/>
  <c r="BM86" i="11"/>
  <c r="AZ86" i="11"/>
  <c r="AS86" i="11"/>
  <c r="AH86" i="11"/>
  <c r="AC86" i="11"/>
  <c r="U86" i="11"/>
  <c r="M86" i="11"/>
  <c r="F86" i="11"/>
  <c r="BM85" i="11"/>
  <c r="AZ85" i="11"/>
  <c r="AS85" i="11"/>
  <c r="AH85" i="11"/>
  <c r="AC85" i="11"/>
  <c r="U85" i="11"/>
  <c r="M85" i="11"/>
  <c r="F85" i="11"/>
  <c r="BM84" i="11"/>
  <c r="AZ84" i="11"/>
  <c r="AS84" i="11"/>
  <c r="AH84" i="11"/>
  <c r="AC84" i="11"/>
  <c r="U84" i="11"/>
  <c r="M84" i="11"/>
  <c r="F84" i="11"/>
  <c r="BM83" i="11"/>
  <c r="AZ83" i="11"/>
  <c r="AS83" i="11"/>
  <c r="AH83" i="11"/>
  <c r="AC83" i="11"/>
  <c r="U83" i="11"/>
  <c r="M83" i="11"/>
  <c r="F83" i="11"/>
  <c r="BM82" i="11"/>
  <c r="AZ82" i="11"/>
  <c r="AS82" i="11"/>
  <c r="AH82" i="11"/>
  <c r="AC82" i="11"/>
  <c r="U82" i="11"/>
  <c r="M82" i="11"/>
  <c r="F82" i="11"/>
  <c r="BM81" i="11"/>
  <c r="AZ81" i="11"/>
  <c r="AS81" i="11"/>
  <c r="AH81" i="11"/>
  <c r="AC81" i="11"/>
  <c r="U81" i="11"/>
  <c r="M81" i="11"/>
  <c r="F81" i="11"/>
  <c r="BM80" i="11"/>
  <c r="AZ80" i="11"/>
  <c r="AS80" i="11"/>
  <c r="AH80" i="11"/>
  <c r="AC80" i="11"/>
  <c r="U80" i="11"/>
  <c r="M80" i="11"/>
  <c r="F80" i="11"/>
  <c r="BM79" i="11"/>
  <c r="AZ79" i="11"/>
  <c r="AS79" i="11"/>
  <c r="AH79" i="11"/>
  <c r="AC79" i="11"/>
  <c r="U79" i="11"/>
  <c r="M79" i="11"/>
  <c r="F79" i="11"/>
  <c r="BM78" i="11"/>
  <c r="AZ78" i="11"/>
  <c r="AS78" i="11"/>
  <c r="AH78" i="11"/>
  <c r="AC78" i="11"/>
  <c r="U78" i="11"/>
  <c r="M78" i="11"/>
  <c r="F78" i="11"/>
  <c r="BM77" i="11"/>
  <c r="AZ77" i="11"/>
  <c r="AS77" i="11"/>
  <c r="AH77" i="11"/>
  <c r="AC77" i="11"/>
  <c r="U77" i="11"/>
  <c r="M77" i="11"/>
  <c r="F77" i="11"/>
  <c r="BM76" i="11"/>
  <c r="AZ76" i="11"/>
  <c r="AS76" i="11"/>
  <c r="AH76" i="11"/>
  <c r="AC76" i="11"/>
  <c r="U76" i="11"/>
  <c r="M76" i="11"/>
  <c r="F76" i="11"/>
  <c r="BM75" i="11"/>
  <c r="AZ75" i="11"/>
  <c r="AS75" i="11"/>
  <c r="AH75" i="11"/>
  <c r="AC75" i="11"/>
  <c r="U75" i="11"/>
  <c r="M75" i="11"/>
  <c r="F75" i="11"/>
  <c r="BM74" i="11"/>
  <c r="AZ74" i="11"/>
  <c r="AS74" i="11"/>
  <c r="AH74" i="11"/>
  <c r="AC74" i="11"/>
  <c r="U74" i="11"/>
  <c r="M74" i="11"/>
  <c r="F74" i="11"/>
  <c r="BM73" i="11"/>
  <c r="AZ73" i="11"/>
  <c r="AS73" i="11"/>
  <c r="AH73" i="11"/>
  <c r="AC73" i="11"/>
  <c r="U73" i="11"/>
  <c r="M73" i="11"/>
  <c r="F73" i="11"/>
  <c r="BM72" i="11"/>
  <c r="AZ72" i="11"/>
  <c r="AS72" i="11"/>
  <c r="AH72" i="11"/>
  <c r="AC72" i="11"/>
  <c r="U72" i="11"/>
  <c r="M72" i="11"/>
  <c r="F72" i="11"/>
  <c r="BM71" i="11"/>
  <c r="AZ71" i="11"/>
  <c r="AS71" i="11"/>
  <c r="AH71" i="11"/>
  <c r="AC71" i="11"/>
  <c r="U71" i="11"/>
  <c r="M71" i="11"/>
  <c r="F71" i="11"/>
  <c r="BM70" i="11"/>
  <c r="AZ70" i="11"/>
  <c r="AS70" i="11"/>
  <c r="AH70" i="11"/>
  <c r="AC70" i="11"/>
  <c r="U70" i="11"/>
  <c r="M70" i="11"/>
  <c r="F70" i="11"/>
  <c r="BM69" i="11"/>
  <c r="AZ69" i="11"/>
  <c r="AS69" i="11"/>
  <c r="AH69" i="11"/>
  <c r="AC69" i="11"/>
  <c r="U69" i="11"/>
  <c r="M69" i="11"/>
  <c r="F69" i="11"/>
  <c r="BM68" i="11"/>
  <c r="AZ68" i="11"/>
  <c r="AS68" i="11"/>
  <c r="AH68" i="11"/>
  <c r="AC68" i="11"/>
  <c r="U68" i="11"/>
  <c r="M68" i="11"/>
  <c r="F68" i="11"/>
  <c r="BM67" i="11"/>
  <c r="AZ67" i="11"/>
  <c r="AS67" i="11"/>
  <c r="AH67" i="11"/>
  <c r="AC67" i="11"/>
  <c r="U67" i="11"/>
  <c r="M67" i="11"/>
  <c r="F67" i="11"/>
  <c r="BM66" i="11"/>
  <c r="AZ66" i="11"/>
  <c r="AS66" i="11"/>
  <c r="AH66" i="11"/>
  <c r="AC66" i="11"/>
  <c r="U66" i="11"/>
  <c r="M66" i="11"/>
  <c r="F66" i="11"/>
  <c r="BM65" i="11"/>
  <c r="AZ65" i="11"/>
  <c r="AS65" i="11"/>
  <c r="AH65" i="11"/>
  <c r="AC65" i="11"/>
  <c r="U65" i="11"/>
  <c r="M65" i="11"/>
  <c r="F65" i="11"/>
  <c r="BM64" i="11"/>
  <c r="AZ64" i="11"/>
  <c r="AS64" i="11"/>
  <c r="AH64" i="11"/>
  <c r="AC64" i="11"/>
  <c r="U64" i="11"/>
  <c r="M64" i="11"/>
  <c r="F64" i="11"/>
  <c r="BM63" i="11"/>
  <c r="AZ63" i="11"/>
  <c r="AS63" i="11"/>
  <c r="AH63" i="11"/>
  <c r="AC63" i="11"/>
  <c r="U63" i="11"/>
  <c r="M63" i="11"/>
  <c r="F63" i="11"/>
  <c r="BM62" i="11"/>
  <c r="AZ62" i="11"/>
  <c r="AS62" i="11"/>
  <c r="AH62" i="11"/>
  <c r="AC62" i="11"/>
  <c r="U62" i="11"/>
  <c r="M62" i="11"/>
  <c r="F62" i="11"/>
  <c r="BM61" i="11"/>
  <c r="AZ61" i="11"/>
  <c r="AS61" i="11"/>
  <c r="AH61" i="11"/>
  <c r="AC61" i="11"/>
  <c r="U61" i="11"/>
  <c r="M61" i="11"/>
  <c r="F61" i="11"/>
  <c r="BM60" i="11"/>
  <c r="AZ60" i="11"/>
  <c r="AS60" i="11"/>
  <c r="AH60" i="11"/>
  <c r="AC60" i="11"/>
  <c r="U60" i="11"/>
  <c r="M60" i="11"/>
  <c r="F60" i="11"/>
  <c r="BM59" i="11"/>
  <c r="AZ59" i="11"/>
  <c r="AS59" i="11"/>
  <c r="AH59" i="11"/>
  <c r="AC59" i="11"/>
  <c r="U59" i="11"/>
  <c r="M59" i="11"/>
  <c r="F59" i="11"/>
  <c r="BM58" i="11"/>
  <c r="AZ58" i="11"/>
  <c r="AS58" i="11"/>
  <c r="AH58" i="11"/>
  <c r="AC58" i="11"/>
  <c r="U58" i="11"/>
  <c r="M58" i="11"/>
  <c r="F58" i="11"/>
  <c r="BM57" i="11"/>
  <c r="AZ57" i="11"/>
  <c r="AS57" i="11"/>
  <c r="AH57" i="11"/>
  <c r="AC57" i="11"/>
  <c r="U57" i="11"/>
  <c r="M57" i="11"/>
  <c r="F57" i="11"/>
  <c r="BM56" i="11"/>
  <c r="AZ56" i="11"/>
  <c r="AS56" i="11"/>
  <c r="AH56" i="11"/>
  <c r="AC56" i="11"/>
  <c r="U56" i="11"/>
  <c r="M56" i="11"/>
  <c r="F56" i="11"/>
  <c r="BM55" i="11"/>
  <c r="AZ55" i="11"/>
  <c r="AS55" i="11"/>
  <c r="AH55" i="11"/>
  <c r="AC55" i="11"/>
  <c r="U55" i="11"/>
  <c r="M55" i="11"/>
  <c r="F55" i="11"/>
  <c r="BM54" i="11"/>
  <c r="AZ54" i="11"/>
  <c r="AS54" i="11"/>
  <c r="AH54" i="11"/>
  <c r="AC54" i="11"/>
  <c r="U54" i="11"/>
  <c r="M54" i="11"/>
  <c r="F54" i="11"/>
  <c r="BM53" i="11"/>
  <c r="AZ53" i="11"/>
  <c r="AS53" i="11"/>
  <c r="AH53" i="11"/>
  <c r="AC53" i="11"/>
  <c r="U53" i="11"/>
  <c r="M53" i="11"/>
  <c r="F53" i="11"/>
  <c r="BM52" i="11"/>
  <c r="AZ52" i="11"/>
  <c r="AS52" i="11"/>
  <c r="AH52" i="11"/>
  <c r="AC52" i="11"/>
  <c r="U52" i="11"/>
  <c r="M52" i="11"/>
  <c r="F52" i="11"/>
  <c r="BM51" i="11"/>
  <c r="AZ51" i="11"/>
  <c r="AS51" i="11"/>
  <c r="AH51" i="11"/>
  <c r="AC51" i="11"/>
  <c r="U51" i="11"/>
  <c r="M51" i="11"/>
  <c r="F51" i="11"/>
  <c r="BM50" i="11"/>
  <c r="AZ50" i="11"/>
  <c r="AS50" i="11"/>
  <c r="AH50" i="11"/>
  <c r="AC50" i="11"/>
  <c r="U50" i="11"/>
  <c r="M50" i="11"/>
  <c r="F50" i="11"/>
  <c r="BM49" i="11"/>
  <c r="AZ49" i="11"/>
  <c r="AS49" i="11"/>
  <c r="AH49" i="11"/>
  <c r="AC49" i="11"/>
  <c r="U49" i="11"/>
  <c r="M49" i="11"/>
  <c r="F49" i="11"/>
  <c r="BM48" i="11"/>
  <c r="AZ48" i="11"/>
  <c r="AS48" i="11"/>
  <c r="AH48" i="11"/>
  <c r="AC48" i="11"/>
  <c r="U48" i="11"/>
  <c r="M48" i="11"/>
  <c r="F48" i="11"/>
  <c r="BM47" i="11"/>
  <c r="AZ47" i="11"/>
  <c r="AS47" i="11"/>
  <c r="AH47" i="11"/>
  <c r="AC47" i="11"/>
  <c r="U47" i="11"/>
  <c r="M47" i="11"/>
  <c r="F47" i="11"/>
  <c r="BM46" i="11"/>
  <c r="AZ46" i="11"/>
  <c r="AS46" i="11"/>
  <c r="AH46" i="11"/>
  <c r="AC46" i="11"/>
  <c r="U46" i="11"/>
  <c r="M46" i="11"/>
  <c r="F46" i="11"/>
  <c r="BM45" i="11"/>
  <c r="AZ45" i="11"/>
  <c r="AS45" i="11"/>
  <c r="AH45" i="11"/>
  <c r="AC45" i="11"/>
  <c r="U45" i="11"/>
  <c r="M45" i="11"/>
  <c r="G43" i="9" s="1"/>
  <c r="F45" i="11"/>
  <c r="BM44" i="11"/>
  <c r="AZ44" i="11"/>
  <c r="AS44" i="11"/>
  <c r="AH44" i="11"/>
  <c r="AC44" i="11"/>
  <c r="U44" i="11"/>
  <c r="M44" i="11"/>
  <c r="G42" i="9" s="1"/>
  <c r="F44" i="11"/>
  <c r="BM43" i="11"/>
  <c r="AZ43" i="11"/>
  <c r="AS43" i="11"/>
  <c r="AH43" i="11"/>
  <c r="AC43" i="11"/>
  <c r="U43" i="11"/>
  <c r="M43" i="11"/>
  <c r="G41" i="9" s="1"/>
  <c r="F43" i="11"/>
  <c r="BM42" i="11"/>
  <c r="AZ42" i="11"/>
  <c r="AS42" i="11"/>
  <c r="AH42" i="11"/>
  <c r="AC42" i="11"/>
  <c r="U42" i="11"/>
  <c r="M42" i="11"/>
  <c r="G40" i="9" s="1"/>
  <c r="F42" i="11"/>
  <c r="BM41" i="11"/>
  <c r="AZ41" i="11"/>
  <c r="AS41" i="11"/>
  <c r="AH41" i="11"/>
  <c r="AC41" i="11"/>
  <c r="U41" i="11"/>
  <c r="M41" i="11"/>
  <c r="G39" i="9" s="1"/>
  <c r="F41" i="11"/>
  <c r="BM40" i="11"/>
  <c r="AZ40" i="11"/>
  <c r="AS40" i="11"/>
  <c r="AH40" i="11"/>
  <c r="AC40" i="11"/>
  <c r="U40" i="11"/>
  <c r="M40" i="11"/>
  <c r="G38" i="9" s="1"/>
  <c r="F40" i="11"/>
  <c r="BM39" i="11"/>
  <c r="AZ39" i="11"/>
  <c r="AS39" i="11"/>
  <c r="AH39" i="11"/>
  <c r="AC39" i="11"/>
  <c r="U39" i="11"/>
  <c r="M39" i="11"/>
  <c r="G37" i="9" s="1"/>
  <c r="F39" i="11"/>
  <c r="BM38" i="11"/>
  <c r="AZ38" i="11"/>
  <c r="AS38" i="11"/>
  <c r="AH38" i="11"/>
  <c r="AC38" i="11"/>
  <c r="U38" i="11"/>
  <c r="M38" i="11"/>
  <c r="G36" i="9" s="1"/>
  <c r="F38" i="11"/>
  <c r="BM37" i="11"/>
  <c r="AZ37" i="11"/>
  <c r="AS37" i="11"/>
  <c r="AH37" i="11"/>
  <c r="AC37" i="11"/>
  <c r="U37" i="11"/>
  <c r="M37" i="11"/>
  <c r="G35" i="9" s="1"/>
  <c r="F37" i="11"/>
  <c r="BM36" i="11"/>
  <c r="AZ36" i="11"/>
  <c r="AS36" i="11"/>
  <c r="AH36" i="11"/>
  <c r="AC36" i="11"/>
  <c r="U36" i="11"/>
  <c r="M36" i="11"/>
  <c r="G34" i="9" s="1"/>
  <c r="F36" i="11"/>
  <c r="BM35" i="11"/>
  <c r="AZ35" i="11"/>
  <c r="AS35" i="11"/>
  <c r="AH35" i="11"/>
  <c r="AC35" i="11"/>
  <c r="U35" i="11"/>
  <c r="M35" i="11"/>
  <c r="G33" i="9" s="1"/>
  <c r="F35" i="11"/>
  <c r="BM34" i="11"/>
  <c r="AZ34" i="11"/>
  <c r="AS34" i="11"/>
  <c r="AH34" i="11"/>
  <c r="AC34" i="11"/>
  <c r="U34" i="11"/>
  <c r="M34" i="11"/>
  <c r="G32" i="9" s="1"/>
  <c r="F34" i="11"/>
  <c r="BM33" i="11"/>
  <c r="AZ33" i="11"/>
  <c r="AS33" i="11"/>
  <c r="AH33" i="11"/>
  <c r="AC33" i="11"/>
  <c r="U33" i="11"/>
  <c r="M33" i="11"/>
  <c r="G31" i="9" s="1"/>
  <c r="F33" i="11"/>
  <c r="BM32" i="11"/>
  <c r="AZ32" i="11"/>
  <c r="AS32" i="11"/>
  <c r="AH32" i="11"/>
  <c r="AC32" i="11"/>
  <c r="U32" i="11"/>
  <c r="M32" i="11"/>
  <c r="F32" i="11"/>
  <c r="BM31" i="11"/>
  <c r="AZ31" i="11"/>
  <c r="AS31" i="11"/>
  <c r="AH31" i="11"/>
  <c r="AC31" i="11"/>
  <c r="U31" i="11"/>
  <c r="M31" i="11"/>
  <c r="G29" i="9" s="1"/>
  <c r="F31" i="11"/>
  <c r="BM30" i="11"/>
  <c r="BJ30" i="11"/>
  <c r="AZ30" i="11"/>
  <c r="AS30" i="11"/>
  <c r="AH30" i="11"/>
  <c r="AC30" i="11"/>
  <c r="U30" i="11"/>
  <c r="M30" i="11"/>
  <c r="F30" i="11"/>
  <c r="BM29" i="11"/>
  <c r="AZ29" i="11"/>
  <c r="AS29" i="11"/>
  <c r="AH29" i="11"/>
  <c r="AC29" i="11"/>
  <c r="U29" i="11"/>
  <c r="M29" i="11"/>
  <c r="G27" i="9" s="1"/>
  <c r="F29" i="11"/>
  <c r="BM28" i="11"/>
  <c r="AZ28" i="11"/>
  <c r="AS28" i="11"/>
  <c r="AH28" i="11"/>
  <c r="AC28" i="11"/>
  <c r="U28" i="11"/>
  <c r="M28" i="11"/>
  <c r="G26" i="9" s="1"/>
  <c r="F28" i="11"/>
  <c r="BM27" i="11"/>
  <c r="AZ27" i="11"/>
  <c r="AS27" i="11"/>
  <c r="AH27" i="11"/>
  <c r="AC27" i="11"/>
  <c r="U27" i="11"/>
  <c r="M27" i="11"/>
  <c r="G25" i="9" s="1"/>
  <c r="F27" i="11"/>
  <c r="BM26" i="11"/>
  <c r="AZ26" i="11"/>
  <c r="AS26" i="11"/>
  <c r="AH26" i="11"/>
  <c r="AC26" i="11"/>
  <c r="U26" i="11"/>
  <c r="M26" i="11"/>
  <c r="G24" i="9" s="1"/>
  <c r="F26" i="11"/>
  <c r="BM25" i="11"/>
  <c r="AZ25" i="11"/>
  <c r="AS25" i="11"/>
  <c r="AH25" i="11"/>
  <c r="AC25" i="11"/>
  <c r="U25" i="11"/>
  <c r="M25" i="11"/>
  <c r="G23" i="9" s="1"/>
  <c r="F25" i="11"/>
  <c r="BM24" i="11"/>
  <c r="AZ24" i="11"/>
  <c r="AS24" i="11"/>
  <c r="AH24" i="11"/>
  <c r="AC24" i="11"/>
  <c r="U24" i="11"/>
  <c r="M24" i="11"/>
  <c r="G22" i="9" s="1"/>
  <c r="F24" i="11"/>
  <c r="BM23" i="11"/>
  <c r="AZ23" i="11"/>
  <c r="AS23" i="11"/>
  <c r="AH23" i="11"/>
  <c r="AC23" i="11"/>
  <c r="U23" i="11"/>
  <c r="M23" i="11"/>
  <c r="G21" i="9" s="1"/>
  <c r="F23" i="11"/>
  <c r="BM22" i="11"/>
  <c r="AZ22" i="11"/>
  <c r="AS22" i="11"/>
  <c r="AH22" i="11"/>
  <c r="AC22" i="11"/>
  <c r="U22" i="11"/>
  <c r="M22" i="11"/>
  <c r="G20" i="9" s="1"/>
  <c r="F22" i="11"/>
  <c r="BM21" i="11"/>
  <c r="AZ21" i="11"/>
  <c r="AS21" i="11"/>
  <c r="AH21" i="11"/>
  <c r="AC21" i="11"/>
  <c r="U21" i="11"/>
  <c r="M21" i="11"/>
  <c r="F21" i="11"/>
  <c r="BM20" i="11"/>
  <c r="AZ20" i="11"/>
  <c r="AS20" i="11"/>
  <c r="AH20" i="11"/>
  <c r="AC20" i="11"/>
  <c r="U20" i="11"/>
  <c r="M20" i="11"/>
  <c r="G18" i="9" s="1"/>
  <c r="F20" i="11"/>
  <c r="BM19" i="11"/>
  <c r="AZ19" i="11"/>
  <c r="AS19" i="11"/>
  <c r="AH19" i="11"/>
  <c r="AC19" i="11"/>
  <c r="U19" i="11"/>
  <c r="M19" i="11"/>
  <c r="G17" i="9" s="1"/>
  <c r="F19" i="11"/>
  <c r="BM18" i="11"/>
  <c r="AZ18" i="11"/>
  <c r="AS18" i="11"/>
  <c r="AH18" i="11"/>
  <c r="AC18" i="11"/>
  <c r="U18" i="11"/>
  <c r="M18" i="11"/>
  <c r="F18" i="11"/>
  <c r="BM17" i="11"/>
  <c r="AZ17" i="11"/>
  <c r="AS17" i="11"/>
  <c r="AH17" i="11"/>
  <c r="AC17" i="11"/>
  <c r="U17" i="11"/>
  <c r="M17" i="11"/>
  <c r="G15" i="9" s="1"/>
  <c r="F17" i="11"/>
  <c r="BM16" i="11"/>
  <c r="AZ16" i="11"/>
  <c r="AS16" i="11"/>
  <c r="AH16" i="11"/>
  <c r="AC16" i="11"/>
  <c r="U16" i="11"/>
  <c r="M16" i="11"/>
  <c r="G14" i="9" s="1"/>
  <c r="F16" i="11"/>
  <c r="BM15" i="11"/>
  <c r="AZ15" i="11"/>
  <c r="AS15" i="11"/>
  <c r="AH15" i="11"/>
  <c r="AC15" i="11"/>
  <c r="U15" i="11"/>
  <c r="M15" i="11"/>
  <c r="F15" i="11"/>
  <c r="BM14" i="11"/>
  <c r="AZ14" i="11"/>
  <c r="AS14" i="11"/>
  <c r="AH14" i="11"/>
  <c r="AC14" i="11"/>
  <c r="U14" i="11"/>
  <c r="M14" i="11"/>
  <c r="G12" i="9" s="1"/>
  <c r="F14" i="11"/>
  <c r="BM13" i="11"/>
  <c r="AZ13" i="11"/>
  <c r="AS13" i="11"/>
  <c r="AH13" i="11"/>
  <c r="AC13" i="11"/>
  <c r="U13" i="11"/>
  <c r="M13" i="11"/>
  <c r="G11" i="9" s="1"/>
  <c r="F13" i="11"/>
  <c r="BM12" i="11"/>
  <c r="AZ12" i="11"/>
  <c r="AS12" i="11"/>
  <c r="AH12" i="11"/>
  <c r="AC12" i="11"/>
  <c r="U12" i="11"/>
  <c r="M12" i="11"/>
  <c r="G10" i="9" s="1"/>
  <c r="F12" i="11"/>
  <c r="BM11" i="11"/>
  <c r="AZ11" i="11"/>
  <c r="AS11" i="11"/>
  <c r="AH11" i="11"/>
  <c r="AC11" i="11"/>
  <c r="U11" i="11"/>
  <c r="M11" i="11"/>
  <c r="G9" i="9" s="1"/>
  <c r="F11" i="1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A11" i="11"/>
  <c r="A12" i="11" s="1"/>
  <c r="BM10" i="11"/>
  <c r="BN10" i="11" s="1"/>
  <c r="AZ10" i="11"/>
  <c r="AS10" i="11"/>
  <c r="AH10" i="11"/>
  <c r="AC10" i="11"/>
  <c r="U10" i="11"/>
  <c r="M10" i="11"/>
  <c r="G8" i="9" s="1"/>
  <c r="F10" i="11"/>
  <c r="D10" i="11"/>
  <c r="D11" i="11" s="1"/>
  <c r="BJ12" i="11" l="1"/>
  <c r="F11" i="9"/>
  <c r="BJ15" i="11"/>
  <c r="F14" i="9"/>
  <c r="BJ17" i="11"/>
  <c r="BJ20" i="11"/>
  <c r="BJ29" i="11"/>
  <c r="BJ21" i="11"/>
  <c r="BJ42" i="11"/>
  <c r="BJ87" i="11"/>
  <c r="BJ92" i="11"/>
  <c r="BJ96" i="11"/>
  <c r="F38" i="9"/>
  <c r="BJ35" i="11"/>
  <c r="BJ36" i="11"/>
  <c r="BJ39" i="11"/>
  <c r="BJ108" i="11"/>
  <c r="BJ33" i="11"/>
  <c r="BJ114" i="11"/>
  <c r="BJ127" i="11"/>
  <c r="BJ128" i="11"/>
  <c r="BJ45" i="11"/>
  <c r="BJ51" i="11"/>
  <c r="BJ53" i="11"/>
  <c r="BJ59" i="11"/>
  <c r="BJ60" i="11"/>
  <c r="BJ63" i="11"/>
  <c r="BJ72" i="11"/>
  <c r="BJ81" i="11"/>
  <c r="F8" i="9"/>
  <c r="AR122" i="11"/>
  <c r="AR142" i="11"/>
  <c r="AR110" i="11"/>
  <c r="F28" i="9"/>
  <c r="BJ98" i="11"/>
  <c r="BJ101" i="11"/>
  <c r="F39" i="9"/>
  <c r="F40" i="9"/>
  <c r="BJ126" i="11"/>
  <c r="F16" i="9"/>
  <c r="F17" i="9"/>
  <c r="F18" i="9"/>
  <c r="BJ75" i="11"/>
  <c r="BJ76" i="11"/>
  <c r="BJ77" i="11"/>
  <c r="BJ78" i="11"/>
  <c r="BJ84" i="11"/>
  <c r="BJ86" i="11"/>
  <c r="BK87" i="11"/>
  <c r="BJ105" i="11"/>
  <c r="BJ106" i="11"/>
  <c r="BJ107" i="11"/>
  <c r="BK107" i="11" s="1"/>
  <c r="BJ110" i="11"/>
  <c r="BJ89" i="11"/>
  <c r="BJ90" i="11"/>
  <c r="BJ91" i="11"/>
  <c r="BJ116" i="11"/>
  <c r="BJ117" i="11"/>
  <c r="BJ123" i="11"/>
  <c r="F34" i="9"/>
  <c r="F35" i="9"/>
  <c r="BJ38" i="11"/>
  <c r="F37" i="9"/>
  <c r="BJ133" i="11"/>
  <c r="BJ139" i="11"/>
  <c r="BJ140" i="11"/>
  <c r="BJ141" i="11"/>
  <c r="BJ142" i="11"/>
  <c r="BK142" i="11" s="1"/>
  <c r="BJ143" i="11"/>
  <c r="BJ144" i="11"/>
  <c r="BJ54" i="11"/>
  <c r="BJ58" i="11"/>
  <c r="BK102" i="11"/>
  <c r="BK110" i="11"/>
  <c r="BJ148" i="11"/>
  <c r="BJ151" i="11"/>
  <c r="BJ153" i="11"/>
  <c r="BJ23" i="11"/>
  <c r="BJ24" i="11"/>
  <c r="F23" i="9"/>
  <c r="F24" i="9"/>
  <c r="F25" i="9"/>
  <c r="BJ28" i="11"/>
  <c r="F41" i="9"/>
  <c r="F42" i="9"/>
  <c r="BJ47" i="11"/>
  <c r="BJ48" i="11"/>
  <c r="F27" i="9"/>
  <c r="F10" i="9"/>
  <c r="F12" i="9"/>
  <c r="F13" i="9"/>
  <c r="F15" i="9"/>
  <c r="F29" i="9"/>
  <c r="BJ32" i="11"/>
  <c r="F31" i="9"/>
  <c r="F33" i="9"/>
  <c r="BJ66" i="11"/>
  <c r="BJ67" i="11"/>
  <c r="BJ68" i="11"/>
  <c r="BJ69" i="11"/>
  <c r="AR147" i="11"/>
  <c r="AR148" i="11"/>
  <c r="AR153" i="11"/>
  <c r="BK153" i="11" s="1"/>
  <c r="AR88" i="11"/>
  <c r="AR121" i="11"/>
  <c r="AR126" i="11"/>
  <c r="BK126" i="11" s="1"/>
  <c r="AR138" i="11"/>
  <c r="AR114" i="11"/>
  <c r="BK114" i="11" s="1"/>
  <c r="AR124" i="11"/>
  <c r="AR19" i="11"/>
  <c r="AR20" i="11"/>
  <c r="BK20" i="11" s="1"/>
  <c r="J18" i="9" s="1"/>
  <c r="AR75" i="11"/>
  <c r="AR79" i="11"/>
  <c r="AR80" i="11"/>
  <c r="AR81" i="11"/>
  <c r="AR116" i="11"/>
  <c r="BK116" i="11" s="1"/>
  <c r="AR86" i="11"/>
  <c r="AR101" i="11"/>
  <c r="AR130" i="11"/>
  <c r="AR136" i="11"/>
  <c r="AR12" i="11"/>
  <c r="BK12" i="11" s="1"/>
  <c r="J10" i="9" s="1"/>
  <c r="AR68" i="11"/>
  <c r="AR45" i="11"/>
  <c r="BK45" i="11" s="1"/>
  <c r="J43" i="9" s="1"/>
  <c r="AR51" i="11"/>
  <c r="AR57" i="11"/>
  <c r="AR85" i="11"/>
  <c r="BP11" i="11"/>
  <c r="BQ11" i="11" s="1"/>
  <c r="AR11" i="11"/>
  <c r="AR17" i="11"/>
  <c r="BK17" i="11" s="1"/>
  <c r="J15" i="9" s="1"/>
  <c r="AR39" i="11"/>
  <c r="AR84" i="11"/>
  <c r="BK84" i="11" s="1"/>
  <c r="AR18" i="11"/>
  <c r="AR23" i="11"/>
  <c r="AR32" i="11"/>
  <c r="BK32" i="11" s="1"/>
  <c r="J30" i="9" s="1"/>
  <c r="AR53" i="11"/>
  <c r="AR78" i="11"/>
  <c r="F30" i="9"/>
  <c r="F22" i="9"/>
  <c r="AR13" i="11"/>
  <c r="AR14" i="11"/>
  <c r="BJ18" i="11"/>
  <c r="AR27" i="11"/>
  <c r="BJ34" i="11"/>
  <c r="AR43" i="11"/>
  <c r="AR44" i="11"/>
  <c r="BJ50" i="11"/>
  <c r="BJ71" i="11"/>
  <c r="AR90" i="11"/>
  <c r="BK90" i="11" s="1"/>
  <c r="AR93" i="11"/>
  <c r="AR95" i="11"/>
  <c r="BJ99" i="11"/>
  <c r="BJ119" i="11"/>
  <c r="BJ120" i="11"/>
  <c r="AR129" i="11"/>
  <c r="BJ134" i="11"/>
  <c r="BJ135" i="11"/>
  <c r="AR145" i="11"/>
  <c r="BK145" i="11" s="1"/>
  <c r="AR146" i="11"/>
  <c r="BJ152" i="11"/>
  <c r="BJ154" i="11"/>
  <c r="BJ155" i="11"/>
  <c r="BJ156" i="11"/>
  <c r="F21" i="9"/>
  <c r="G16" i="9"/>
  <c r="F160" i="11"/>
  <c r="AR15" i="11"/>
  <c r="BK15" i="11" s="1"/>
  <c r="J13" i="9" s="1"/>
  <c r="BJ22" i="11"/>
  <c r="AR29" i="11"/>
  <c r="BK29" i="11" s="1"/>
  <c r="J27" i="9" s="1"/>
  <c r="AR30" i="11"/>
  <c r="BK30" i="11" s="1"/>
  <c r="J28" i="9" s="1"/>
  <c r="AR31" i="11"/>
  <c r="AR41" i="11"/>
  <c r="BJ52" i="11"/>
  <c r="AR62" i="11"/>
  <c r="AR65" i="11"/>
  <c r="BJ73" i="11"/>
  <c r="BJ74" i="11"/>
  <c r="AR82" i="11"/>
  <c r="AR92" i="11"/>
  <c r="BK92" i="11" s="1"/>
  <c r="AR94" i="11"/>
  <c r="BJ104" i="11"/>
  <c r="AR115" i="11"/>
  <c r="BJ121" i="11"/>
  <c r="AR127" i="11"/>
  <c r="BK127" i="11" s="1"/>
  <c r="AR128" i="11"/>
  <c r="BK128" i="11" s="1"/>
  <c r="BJ136" i="11"/>
  <c r="BJ137" i="11"/>
  <c r="BJ138" i="11"/>
  <c r="BK138" i="11" s="1"/>
  <c r="AR144" i="11"/>
  <c r="BK144" i="11" s="1"/>
  <c r="BJ159" i="11"/>
  <c r="F36" i="9"/>
  <c r="F20" i="9"/>
  <c r="F43" i="9"/>
  <c r="G30" i="9"/>
  <c r="AR34" i="11"/>
  <c r="BK34" i="11" s="1"/>
  <c r="J32" i="9" s="1"/>
  <c r="BJ40" i="11"/>
  <c r="AR49" i="11"/>
  <c r="AR50" i="11"/>
  <c r="BK50" i="11" s="1"/>
  <c r="BJ56" i="11"/>
  <c r="AR66" i="11"/>
  <c r="AR70" i="11"/>
  <c r="AR98" i="11"/>
  <c r="BK98" i="11" s="1"/>
  <c r="AR118" i="11"/>
  <c r="AR120" i="11"/>
  <c r="BJ122" i="11"/>
  <c r="BK122" i="11" s="1"/>
  <c r="BJ124" i="11"/>
  <c r="BK124" i="11" s="1"/>
  <c r="BJ125" i="11"/>
  <c r="AR135" i="11"/>
  <c r="BK135" i="11" s="1"/>
  <c r="AR150" i="11"/>
  <c r="AR151" i="11"/>
  <c r="BK151" i="11" s="1"/>
  <c r="AR152" i="11"/>
  <c r="BK152" i="11" s="1"/>
  <c r="AR155" i="11"/>
  <c r="BK155" i="11" s="1"/>
  <c r="F26" i="9"/>
  <c r="G13" i="9"/>
  <c r="BK101" i="11"/>
  <c r="BJ11" i="11"/>
  <c r="AR22" i="11"/>
  <c r="AR33" i="11"/>
  <c r="BK33" i="11" s="1"/>
  <c r="J31" i="9" s="1"/>
  <c r="AR47" i="11"/>
  <c r="BK47" i="11" s="1"/>
  <c r="AR61" i="11"/>
  <c r="AR69" i="11"/>
  <c r="AR74" i="11"/>
  <c r="BJ80" i="11"/>
  <c r="BK80" i="11" s="1"/>
  <c r="AR104" i="11"/>
  <c r="BK104" i="11" s="1"/>
  <c r="AR132" i="11"/>
  <c r="AR133" i="11"/>
  <c r="AR134" i="11"/>
  <c r="BK134" i="11" s="1"/>
  <c r="AR137" i="11"/>
  <c r="BK137" i="11" s="1"/>
  <c r="BJ147" i="11"/>
  <c r="BK147" i="11" s="1"/>
  <c r="AR159" i="11"/>
  <c r="F9" i="9"/>
  <c r="G28" i="9"/>
  <c r="BK111" i="11"/>
  <c r="F19" i="9"/>
  <c r="AH160" i="11"/>
  <c r="BJ13" i="11"/>
  <c r="BJ14" i="11"/>
  <c r="BJ16" i="11"/>
  <c r="AR21" i="11"/>
  <c r="BK21" i="11" s="1"/>
  <c r="J19" i="9" s="1"/>
  <c r="BJ26" i="11"/>
  <c r="BJ27" i="11"/>
  <c r="AR37" i="11"/>
  <c r="AR38" i="11"/>
  <c r="BK38" i="11" s="1"/>
  <c r="J36" i="9" s="1"/>
  <c r="BJ41" i="11"/>
  <c r="BJ44" i="11"/>
  <c r="BJ57" i="11"/>
  <c r="AR72" i="11"/>
  <c r="AR89" i="11"/>
  <c r="BK89" i="11" s="1"/>
  <c r="BJ93" i="11"/>
  <c r="BJ95" i="11"/>
  <c r="BJ129" i="11"/>
  <c r="AR141" i="11"/>
  <c r="BK141" i="11" s="1"/>
  <c r="BJ149" i="11"/>
  <c r="BJ150" i="11"/>
  <c r="AR157" i="11"/>
  <c r="BK157" i="11" s="1"/>
  <c r="AR158" i="11"/>
  <c r="BK158" i="11" s="1"/>
  <c r="F32" i="9"/>
  <c r="G19" i="9"/>
  <c r="AR59" i="11"/>
  <c r="BK96" i="11"/>
  <c r="AR26" i="11"/>
  <c r="AR35" i="11"/>
  <c r="BK35" i="11" s="1"/>
  <c r="J33" i="9" s="1"/>
  <c r="BJ46" i="11"/>
  <c r="AR55" i="11"/>
  <c r="AR56" i="11"/>
  <c r="BJ61" i="11"/>
  <c r="BJ62" i="11"/>
  <c r="BJ65" i="11"/>
  <c r="AR76" i="11"/>
  <c r="BJ82" i="11"/>
  <c r="BJ83" i="11"/>
  <c r="BJ97" i="11"/>
  <c r="AR105" i="11"/>
  <c r="BK105" i="11" s="1"/>
  <c r="AR109" i="11"/>
  <c r="BJ113" i="11"/>
  <c r="BJ130" i="11"/>
  <c r="BJ131" i="11"/>
  <c r="BJ132" i="11"/>
  <c r="AR139" i="11"/>
  <c r="BK139" i="11" s="1"/>
  <c r="AR140" i="11"/>
  <c r="BK140" i="11" s="1"/>
  <c r="AR156" i="11"/>
  <c r="A13" i="11"/>
  <c r="BP12" i="11"/>
  <c r="BQ12" i="11" s="1"/>
  <c r="AR10" i="11"/>
  <c r="BJ19" i="11"/>
  <c r="BJ31" i="11"/>
  <c r="BJ37" i="11"/>
  <c r="AR40" i="11"/>
  <c r="BJ43" i="11"/>
  <c r="AR46" i="11"/>
  <c r="BJ49" i="11"/>
  <c r="AR52" i="11"/>
  <c r="BK52" i="11" s="1"/>
  <c r="BJ55" i="11"/>
  <c r="AR58" i="11"/>
  <c r="D12" i="1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M160" i="11"/>
  <c r="AR28" i="11"/>
  <c r="AS160" i="11"/>
  <c r="BP10" i="11"/>
  <c r="BJ10" i="11"/>
  <c r="AZ160" i="11"/>
  <c r="AR16" i="11"/>
  <c r="BK16" i="11" s="1"/>
  <c r="J14" i="9" s="1"/>
  <c r="BJ25" i="11"/>
  <c r="AC160" i="11"/>
  <c r="AR24" i="11"/>
  <c r="AR25" i="11"/>
  <c r="AR36" i="11"/>
  <c r="BK36" i="11" s="1"/>
  <c r="J34" i="9" s="1"/>
  <c r="AR42" i="11"/>
  <c r="AR48" i="11"/>
  <c r="AR54" i="11"/>
  <c r="AR60" i="11"/>
  <c r="BK60" i="11" s="1"/>
  <c r="AR63" i="11"/>
  <c r="AR67" i="11"/>
  <c r="AR71" i="11"/>
  <c r="BK86" i="11"/>
  <c r="AR108" i="11"/>
  <c r="U160" i="11"/>
  <c r="BJ64" i="11"/>
  <c r="AR73" i="11"/>
  <c r="AR77" i="11"/>
  <c r="AR83" i="11"/>
  <c r="AR99" i="11"/>
  <c r="AR64" i="11"/>
  <c r="BJ70" i="11"/>
  <c r="BJ79" i="11"/>
  <c r="BK79" i="11" s="1"/>
  <c r="BJ85" i="11"/>
  <c r="BK85" i="11" s="1"/>
  <c r="BJ88" i="11"/>
  <c r="AR97" i="11"/>
  <c r="AR106" i="11"/>
  <c r="BK106" i="11" s="1"/>
  <c r="BJ112" i="11"/>
  <c r="BJ118" i="11"/>
  <c r="AR119" i="11"/>
  <c r="BK119" i="11" s="1"/>
  <c r="BJ94" i="11"/>
  <c r="BJ103" i="11"/>
  <c r="BJ109" i="11"/>
  <c r="AR112" i="11"/>
  <c r="AR103" i="11"/>
  <c r="AR113" i="11"/>
  <c r="BJ100" i="11"/>
  <c r="AR117" i="11"/>
  <c r="BK117" i="11" s="1"/>
  <c r="BK121" i="11"/>
  <c r="AR91" i="11"/>
  <c r="BK91" i="11" s="1"/>
  <c r="AR100" i="11"/>
  <c r="BJ115" i="11"/>
  <c r="AR125" i="11"/>
  <c r="BK125" i="11" s="1"/>
  <c r="BJ146" i="11"/>
  <c r="BK146" i="11" s="1"/>
  <c r="AR149" i="11"/>
  <c r="BK154" i="11"/>
  <c r="AR123" i="11"/>
  <c r="BK123" i="11" s="1"/>
  <c r="AR143" i="11"/>
  <c r="BK143" i="11" s="1"/>
  <c r="BK159" i="11"/>
  <c r="AR131" i="11"/>
  <c r="BK136" i="11"/>
  <c r="BK70" i="11" l="1"/>
  <c r="BK42" i="11"/>
  <c r="J40" i="9" s="1"/>
  <c r="BK59" i="11"/>
  <c r="BK57" i="11"/>
  <c r="BK48" i="11"/>
  <c r="BK24" i="11"/>
  <c r="J22" i="9" s="1"/>
  <c r="BK28" i="11"/>
  <c r="J26" i="9" s="1"/>
  <c r="BK19" i="11"/>
  <c r="J17" i="9" s="1"/>
  <c r="BK54" i="11"/>
  <c r="BK63" i="11"/>
  <c r="BK13" i="11"/>
  <c r="J11" i="9" s="1"/>
  <c r="BK51" i="11"/>
  <c r="BK99" i="11"/>
  <c r="BK81" i="11"/>
  <c r="BK108" i="11"/>
  <c r="BK53" i="11"/>
  <c r="BK39" i="11"/>
  <c r="J37" i="9" s="1"/>
  <c r="BK72" i="11"/>
  <c r="BK71" i="11"/>
  <c r="BK78" i="11"/>
  <c r="BK75" i="11"/>
  <c r="BK83" i="11"/>
  <c r="BK77" i="11"/>
  <c r="BK76" i="11"/>
  <c r="BK69" i="11"/>
  <c r="BK131" i="11"/>
  <c r="BK120" i="11"/>
  <c r="BK149" i="11"/>
  <c r="BK113" i="11"/>
  <c r="BK58" i="11"/>
  <c r="BK46" i="11"/>
  <c r="BK133" i="11"/>
  <c r="BK68" i="11"/>
  <c r="BK148" i="11"/>
  <c r="BK100" i="11"/>
  <c r="BK37" i="11"/>
  <c r="J35" i="9" s="1"/>
  <c r="BK74" i="11"/>
  <c r="BK65" i="11"/>
  <c r="BK95" i="11"/>
  <c r="BK97" i="11"/>
  <c r="BK40" i="11"/>
  <c r="J38" i="9" s="1"/>
  <c r="BK132" i="11"/>
  <c r="BK93" i="11"/>
  <c r="BK130" i="11"/>
  <c r="BK23" i="11"/>
  <c r="J21" i="9" s="1"/>
  <c r="BK67" i="11"/>
  <c r="BK64" i="11"/>
  <c r="BK73" i="11"/>
  <c r="BK56" i="11"/>
  <c r="BK22" i="11"/>
  <c r="J20" i="9" s="1"/>
  <c r="BK18" i="11"/>
  <c r="J16" i="9" s="1"/>
  <c r="BK66" i="11"/>
  <c r="BK118" i="11"/>
  <c r="BK88" i="11"/>
  <c r="BK43" i="11"/>
  <c r="J41" i="9" s="1"/>
  <c r="BK94" i="11"/>
  <c r="BK109" i="11"/>
  <c r="BK49" i="11"/>
  <c r="BK31" i="11"/>
  <c r="J29" i="9" s="1"/>
  <c r="BK11" i="11"/>
  <c r="J9" i="9" s="1"/>
  <c r="BK115" i="11"/>
  <c r="BK61" i="11"/>
  <c r="BK44" i="11"/>
  <c r="J42" i="9" s="1"/>
  <c r="BK62" i="11"/>
  <c r="BK27" i="11"/>
  <c r="J25" i="9" s="1"/>
  <c r="BK55" i="11"/>
  <c r="BK103" i="11"/>
  <c r="BK112" i="11"/>
  <c r="BK41" i="11"/>
  <c r="J39" i="9" s="1"/>
  <c r="BK14" i="11"/>
  <c r="J12" i="9" s="1"/>
  <c r="AI161" i="11"/>
  <c r="BK26" i="11"/>
  <c r="J24" i="9" s="1"/>
  <c r="BK150" i="11"/>
  <c r="BK82" i="11"/>
  <c r="BK156" i="11"/>
  <c r="BK129" i="11"/>
  <c r="AK161" i="11"/>
  <c r="A14" i="11"/>
  <c r="BP13" i="11"/>
  <c r="BQ13" i="11" s="1"/>
  <c r="K161" i="11"/>
  <c r="X161" i="11"/>
  <c r="BH161" i="11"/>
  <c r="AQ161" i="11"/>
  <c r="N161" i="11"/>
  <c r="BD161" i="11"/>
  <c r="AM161" i="11"/>
  <c r="AB161" i="11"/>
  <c r="R161" i="11"/>
  <c r="V161" i="11"/>
  <c r="AU161" i="11"/>
  <c r="W161" i="11"/>
  <c r="AD161" i="11"/>
  <c r="G161" i="11"/>
  <c r="AW161" i="11"/>
  <c r="T161" i="11"/>
  <c r="AY161" i="11"/>
  <c r="AN161" i="11"/>
  <c r="AX161" i="11"/>
  <c r="AG161" i="11"/>
  <c r="BK25" i="11"/>
  <c r="BJ160" i="11"/>
  <c r="E161" i="11"/>
  <c r="Q161" i="11"/>
  <c r="BG161" i="11"/>
  <c r="AJ161" i="11"/>
  <c r="S161" i="11"/>
  <c r="BC161" i="11"/>
  <c r="Z161" i="11"/>
  <c r="I161" i="11"/>
  <c r="BE161" i="11"/>
  <c r="AT161" i="11"/>
  <c r="AR160" i="11"/>
  <c r="BK10" i="11"/>
  <c r="AO161" i="11"/>
  <c r="BA161" i="11"/>
  <c r="AP161" i="11"/>
  <c r="Y161" i="11"/>
  <c r="BI161" i="11"/>
  <c r="AF161" i="11"/>
  <c r="O161" i="11"/>
  <c r="J161" i="11"/>
  <c r="BF161" i="11"/>
  <c r="BB161" i="11"/>
  <c r="H161" i="11"/>
  <c r="BQ10" i="11"/>
  <c r="L161" i="11"/>
  <c r="AV161" i="11"/>
  <c r="AE161" i="11"/>
  <c r="AL161" i="11"/>
  <c r="AA161" i="11"/>
  <c r="P161" i="11"/>
  <c r="BL20" i="11" l="1"/>
  <c r="BL118" i="11"/>
  <c r="BL103" i="11"/>
  <c r="BL31" i="11"/>
  <c r="BL62" i="11"/>
  <c r="BL145" i="11"/>
  <c r="BL54" i="11"/>
  <c r="BL95" i="11"/>
  <c r="BL78" i="11"/>
  <c r="BL41" i="11"/>
  <c r="BL73" i="11"/>
  <c r="BL14" i="11"/>
  <c r="BL70" i="11"/>
  <c r="J8" i="9"/>
  <c r="AH161" i="11"/>
  <c r="BL69" i="11"/>
  <c r="J23" i="9"/>
  <c r="AC161" i="11"/>
  <c r="BL80" i="11"/>
  <c r="BL85" i="11"/>
  <c r="BL77" i="11"/>
  <c r="BL61" i="11"/>
  <c r="BL142" i="11"/>
  <c r="BL119" i="11"/>
  <c r="BL111" i="11"/>
  <c r="BL55" i="11"/>
  <c r="BL46" i="11"/>
  <c r="BL158" i="11"/>
  <c r="BL126" i="11"/>
  <c r="BL117" i="11"/>
  <c r="BL56" i="11"/>
  <c r="BL124" i="11"/>
  <c r="BL101" i="11"/>
  <c r="BL97" i="11"/>
  <c r="BL37" i="11"/>
  <c r="BL52" i="11"/>
  <c r="BL133" i="11"/>
  <c r="BL66" i="11"/>
  <c r="BL42" i="11"/>
  <c r="BL36" i="11"/>
  <c r="BL151" i="11"/>
  <c r="BL144" i="11"/>
  <c r="BL87" i="11"/>
  <c r="BL51" i="11"/>
  <c r="BL27" i="11"/>
  <c r="BL157" i="11"/>
  <c r="BL91" i="11"/>
  <c r="A15" i="11"/>
  <c r="BP14" i="11"/>
  <c r="AZ161" i="11"/>
  <c r="BL104" i="11"/>
  <c r="BL122" i="11"/>
  <c r="BL139" i="11"/>
  <c r="BL72" i="11"/>
  <c r="BL48" i="11"/>
  <c r="BK160" i="11"/>
  <c r="BL28" i="11"/>
  <c r="BL16" i="11"/>
  <c r="BL12" i="11"/>
  <c r="BL11" i="11"/>
  <c r="BL10" i="11"/>
  <c r="BL30" i="11"/>
  <c r="BL18" i="11"/>
  <c r="BO10" i="11"/>
  <c r="L8" i="9" s="1"/>
  <c r="BL13" i="11"/>
  <c r="BL34" i="11"/>
  <c r="BL24" i="11"/>
  <c r="BL15" i="11"/>
  <c r="BL114" i="11"/>
  <c r="BL75" i="11"/>
  <c r="BL84" i="11"/>
  <c r="BL26" i="11"/>
  <c r="BL67" i="11"/>
  <c r="BL106" i="11"/>
  <c r="BL143" i="11"/>
  <c r="BL88" i="11"/>
  <c r="BL39" i="11"/>
  <c r="BL49" i="11"/>
  <c r="BL113" i="11"/>
  <c r="BL92" i="11"/>
  <c r="BL105" i="11"/>
  <c r="BL76" i="11"/>
  <c r="BL132" i="11"/>
  <c r="BL65" i="11"/>
  <c r="BL47" i="11"/>
  <c r="BL110" i="11"/>
  <c r="BL83" i="11"/>
  <c r="BL60" i="11"/>
  <c r="BL59" i="11"/>
  <c r="BL140" i="11"/>
  <c r="BL90" i="11"/>
  <c r="BL38" i="11"/>
  <c r="U161" i="11"/>
  <c r="BL153" i="11"/>
  <c r="BL125" i="11"/>
  <c r="BL115" i="11"/>
  <c r="BL82" i="11"/>
  <c r="BL136" i="11"/>
  <c r="BL123" i="11"/>
  <c r="BL108" i="11"/>
  <c r="BL86" i="11"/>
  <c r="BL129" i="11"/>
  <c r="BL130" i="11"/>
  <c r="BL107" i="11"/>
  <c r="BL102" i="11"/>
  <c r="BL43" i="11"/>
  <c r="BL135" i="11"/>
  <c r="BL116" i="11"/>
  <c r="BL96" i="11"/>
  <c r="BL64" i="11"/>
  <c r="BL150" i="11"/>
  <c r="BL94" i="11"/>
  <c r="BL57" i="11"/>
  <c r="BL29" i="11"/>
  <c r="BL40" i="11"/>
  <c r="BL148" i="11"/>
  <c r="BL137" i="11"/>
  <c r="BL68" i="11"/>
  <c r="BL19" i="11"/>
  <c r="BL147" i="11"/>
  <c r="BL98" i="11"/>
  <c r="BL71" i="11"/>
  <c r="BL53" i="11"/>
  <c r="BL128" i="11"/>
  <c r="BL156" i="11"/>
  <c r="BL99" i="11"/>
  <c r="BL63" i="11"/>
  <c r="BL35" i="11"/>
  <c r="AS161" i="11"/>
  <c r="BL146" i="11"/>
  <c r="BL109" i="11"/>
  <c r="BL44" i="11"/>
  <c r="BL22" i="11"/>
  <c r="BL58" i="11"/>
  <c r="F161" i="11"/>
  <c r="BL79" i="11"/>
  <c r="BL93" i="11"/>
  <c r="M161" i="11"/>
  <c r="BL138" i="11"/>
  <c r="BL81" i="11"/>
  <c r="BL45" i="11"/>
  <c r="BL17" i="11"/>
  <c r="BL141" i="11"/>
  <c r="BL155" i="11"/>
  <c r="BL100" i="11"/>
  <c r="BL152" i="11"/>
  <c r="BL120" i="11"/>
  <c r="BL112" i="11"/>
  <c r="BL50" i="11"/>
  <c r="BL21" i="11"/>
  <c r="BL154" i="11"/>
  <c r="BL74" i="11"/>
  <c r="BL25" i="11"/>
  <c r="BL159" i="11"/>
  <c r="BL127" i="11"/>
  <c r="BL149" i="11"/>
  <c r="BL121" i="11"/>
  <c r="BL23" i="11"/>
  <c r="BL134" i="11"/>
  <c r="BL131" i="11"/>
  <c r="BL89" i="11"/>
  <c r="BL32" i="11"/>
  <c r="BL33" i="11"/>
  <c r="BJ161" i="11" l="1"/>
  <c r="AR161" i="11"/>
  <c r="BQ14" i="11"/>
  <c r="BP15" i="11"/>
  <c r="BQ15" i="11" s="1"/>
  <c r="A16" i="11"/>
  <c r="BN11" i="11"/>
  <c r="BO11" i="11" s="1"/>
  <c r="L9" i="9" s="1"/>
  <c r="E10" i="10" s="1"/>
  <c r="BK161" i="11" l="1"/>
  <c r="BL161" i="11" s="1"/>
  <c r="B13" i="8" s="1"/>
  <c r="BL160" i="11"/>
  <c r="BN12" i="11"/>
  <c r="BO12" i="11" s="1"/>
  <c r="L10" i="9" s="1"/>
  <c r="BP16" i="11"/>
  <c r="A17" i="11"/>
  <c r="BN13" i="11" l="1"/>
  <c r="BO13" i="11" s="1"/>
  <c r="L11" i="9" s="1"/>
  <c r="A18" i="11"/>
  <c r="BP17" i="11"/>
  <c r="BQ17" i="11" s="1"/>
  <c r="BQ16" i="11"/>
  <c r="BN14" i="11" l="1"/>
  <c r="BO14" i="11" s="1"/>
  <c r="L12" i="9" s="1"/>
  <c r="A19" i="11"/>
  <c r="BP18" i="11"/>
  <c r="BQ18" i="11" l="1"/>
  <c r="BN15" i="11"/>
  <c r="BO15" i="11" s="1"/>
  <c r="L13" i="9" s="1"/>
  <c r="A20" i="11"/>
  <c r="BP19" i="11"/>
  <c r="BQ19" i="11" s="1"/>
  <c r="BN16" i="11" l="1"/>
  <c r="BO16" i="11" s="1"/>
  <c r="L14" i="9" s="1"/>
  <c r="E15" i="10" s="1"/>
  <c r="A21" i="11"/>
  <c r="BP20" i="11"/>
  <c r="BQ20" i="11" s="1"/>
  <c r="BN17" i="11" l="1"/>
  <c r="BO17" i="11" s="1"/>
  <c r="L15" i="9" s="1"/>
  <c r="BP21" i="11"/>
  <c r="BQ21" i="11" s="1"/>
  <c r="A22" i="11"/>
  <c r="BN18" i="11" l="1"/>
  <c r="BO18" i="11" s="1"/>
  <c r="L16" i="9" s="1"/>
  <c r="BP22" i="11"/>
  <c r="BQ22" i="11" s="1"/>
  <c r="A23" i="11"/>
  <c r="BN19" i="11" l="1"/>
  <c r="BO19" i="11" s="1"/>
  <c r="L17" i="9" s="1"/>
  <c r="A24" i="11"/>
  <c r="BP23" i="11"/>
  <c r="BQ23" i="11" s="1"/>
  <c r="A25" i="11" l="1"/>
  <c r="BP24" i="11"/>
  <c r="BQ24" i="11" s="1"/>
  <c r="BN20" i="11"/>
  <c r="BO20" i="11" s="1"/>
  <c r="L18" i="9" s="1"/>
  <c r="BN21" i="11" l="1"/>
  <c r="BO21" i="11" s="1"/>
  <c r="L19" i="9" s="1"/>
  <c r="A26" i="11"/>
  <c r="BP25" i="11"/>
  <c r="BQ25" i="11" s="1"/>
  <c r="BN22" i="11" l="1"/>
  <c r="BO22" i="11" s="1"/>
  <c r="L20" i="9" s="1"/>
  <c r="A27" i="11"/>
  <c r="BP26" i="11"/>
  <c r="BQ26" i="11" s="1"/>
  <c r="BN23" i="11" l="1"/>
  <c r="BO23" i="11" s="1"/>
  <c r="L21" i="9" s="1"/>
  <c r="BP27" i="11"/>
  <c r="BQ27" i="11" s="1"/>
  <c r="A28" i="11"/>
  <c r="BN24" i="11" l="1"/>
  <c r="BO24" i="11" s="1"/>
  <c r="L22" i="9" s="1"/>
  <c r="BP28" i="11"/>
  <c r="BQ28" i="11" s="1"/>
  <c r="A29" i="11"/>
  <c r="BN25" i="11" l="1"/>
  <c r="BO25" i="11" s="1"/>
  <c r="L23" i="9" s="1"/>
  <c r="A30" i="11"/>
  <c r="BP29" i="11"/>
  <c r="BQ29" i="11" s="1"/>
  <c r="BN26" i="11" l="1"/>
  <c r="BO26" i="11" s="1"/>
  <c r="L24" i="9" s="1"/>
  <c r="A31" i="11"/>
  <c r="BP30" i="11"/>
  <c r="BQ30" i="11" s="1"/>
  <c r="BN27" i="11" l="1"/>
  <c r="BO27" i="11" s="1"/>
  <c r="L25" i="9" s="1"/>
  <c r="A32" i="11"/>
  <c r="BP31" i="11"/>
  <c r="BQ31" i="11" s="1"/>
  <c r="BN28" i="11" l="1"/>
  <c r="BO28" i="11" s="1"/>
  <c r="L26" i="9" s="1"/>
  <c r="A33" i="11"/>
  <c r="BP32" i="11"/>
  <c r="BQ32" i="11" s="1"/>
  <c r="BN29" i="11" l="1"/>
  <c r="BO29" i="11" s="1"/>
  <c r="L27" i="9" s="1"/>
  <c r="BP33" i="11"/>
  <c r="BQ33" i="11" s="1"/>
  <c r="A34" i="11"/>
  <c r="BN30" i="11" l="1"/>
  <c r="BO30" i="11" s="1"/>
  <c r="L28" i="9" s="1"/>
  <c r="BP34" i="11"/>
  <c r="BQ34" i="11" s="1"/>
  <c r="A35" i="11"/>
  <c r="BN31" i="11" l="1"/>
  <c r="BO31" i="11" s="1"/>
  <c r="L29" i="9" s="1"/>
  <c r="A36" i="11"/>
  <c r="BP35" i="11"/>
  <c r="BQ35" i="11" s="1"/>
  <c r="BN32" i="11" l="1"/>
  <c r="BO32" i="11" s="1"/>
  <c r="L30" i="9" s="1"/>
  <c r="A37" i="11"/>
  <c r="BP36" i="11"/>
  <c r="BQ36" i="11" s="1"/>
  <c r="BN33" i="11" l="1"/>
  <c r="BO33" i="11" s="1"/>
  <c r="L31" i="9" s="1"/>
  <c r="A38" i="11"/>
  <c r="BP37" i="11"/>
  <c r="BQ37" i="11" s="1"/>
  <c r="BN34" i="11" l="1"/>
  <c r="BO34" i="11" s="1"/>
  <c r="L32" i="9" s="1"/>
  <c r="A39" i="11"/>
  <c r="BP38" i="11"/>
  <c r="BQ38" i="11" s="1"/>
  <c r="A40" i="11" l="1"/>
  <c r="BP39" i="11"/>
  <c r="BQ39" i="11" s="1"/>
  <c r="BN35" i="11"/>
  <c r="BO35" i="11" s="1"/>
  <c r="L33" i="9" s="1"/>
  <c r="BN36" i="11" l="1"/>
  <c r="BO36" i="11" s="1"/>
  <c r="L34" i="9" s="1"/>
  <c r="BP40" i="11"/>
  <c r="BQ40" i="11" s="1"/>
  <c r="A41" i="11"/>
  <c r="BN37" i="11" l="1"/>
  <c r="BO37" i="11" s="1"/>
  <c r="L35" i="9" s="1"/>
  <c r="BP41" i="11"/>
  <c r="BQ41" i="11" s="1"/>
  <c r="A42" i="11"/>
  <c r="BN38" i="11" l="1"/>
  <c r="BO38" i="11" s="1"/>
  <c r="L36" i="9" s="1"/>
  <c r="A43" i="11"/>
  <c r="BP42" i="11"/>
  <c r="BQ42" i="11" s="1"/>
  <c r="BN39" i="11" l="1"/>
  <c r="BO39" i="11" s="1"/>
  <c r="L37" i="9" s="1"/>
  <c r="E38" i="10" s="1"/>
  <c r="A44" i="11"/>
  <c r="BP43" i="11"/>
  <c r="BQ43" i="11" s="1"/>
  <c r="BN40" i="11" l="1"/>
  <c r="BO40" i="11" s="1"/>
  <c r="L38" i="9" s="1"/>
  <c r="A45" i="11"/>
  <c r="BP44" i="11"/>
  <c r="BQ44" i="11" s="1"/>
  <c r="A46" i="11" l="1"/>
  <c r="BP45" i="11"/>
  <c r="BQ45" i="11" s="1"/>
  <c r="BN41" i="11"/>
  <c r="BO41" i="11" s="1"/>
  <c r="L39" i="9" s="1"/>
  <c r="BN42" i="11" l="1"/>
  <c r="BO42" i="11" s="1"/>
  <c r="L40" i="9" s="1"/>
  <c r="BP46" i="11"/>
  <c r="BQ46" i="11" s="1"/>
  <c r="A47" i="11"/>
  <c r="BN43" i="11" l="1"/>
  <c r="BO43" i="11" s="1"/>
  <c r="L41" i="9" s="1"/>
  <c r="BP47" i="11"/>
  <c r="BQ47" i="11" s="1"/>
  <c r="A48" i="11"/>
  <c r="A49" i="11" l="1"/>
  <c r="BP48" i="11"/>
  <c r="BQ48" i="11" s="1"/>
  <c r="BN44" i="11"/>
  <c r="BO44" i="11" s="1"/>
  <c r="L42" i="9" s="1"/>
  <c r="BN45" i="11" l="1"/>
  <c r="BO45" i="11" s="1"/>
  <c r="L43" i="9" s="1"/>
  <c r="A50" i="11"/>
  <c r="BP49" i="11"/>
  <c r="BQ49" i="11" s="1"/>
  <c r="BN46" i="11" l="1"/>
  <c r="BO46" i="11" s="1"/>
  <c r="A51" i="11"/>
  <c r="BP50" i="11"/>
  <c r="BQ50" i="11" s="1"/>
  <c r="BN47" i="11" l="1"/>
  <c r="BO47" i="11" s="1"/>
  <c r="A52" i="11"/>
  <c r="BP51" i="11"/>
  <c r="BQ51" i="11" s="1"/>
  <c r="BN48" i="11" l="1"/>
  <c r="BO48" i="11" s="1"/>
  <c r="BP52" i="11"/>
  <c r="BQ52" i="11" s="1"/>
  <c r="A53" i="11"/>
  <c r="BN49" i="11" l="1"/>
  <c r="BO49" i="11" s="1"/>
  <c r="BP53" i="11"/>
  <c r="BQ53" i="11" s="1"/>
  <c r="A54" i="11"/>
  <c r="A55" i="11" l="1"/>
  <c r="BP54" i="11"/>
  <c r="BQ54" i="11" s="1"/>
  <c r="BN50" i="11"/>
  <c r="BO50" i="11" s="1"/>
  <c r="BN51" i="11" l="1"/>
  <c r="BO51" i="11" s="1"/>
  <c r="A56" i="11"/>
  <c r="BP55" i="11"/>
  <c r="BQ55" i="11" s="1"/>
  <c r="BN52" i="11" l="1"/>
  <c r="BO52" i="11" s="1"/>
  <c r="A57" i="11"/>
  <c r="BP56" i="11"/>
  <c r="BQ56" i="11" s="1"/>
  <c r="A58" i="11" l="1"/>
  <c r="BP57" i="11"/>
  <c r="BQ57" i="11" s="1"/>
  <c r="BN53" i="11"/>
  <c r="BO53" i="11" s="1"/>
  <c r="BN54" i="11" l="1"/>
  <c r="BO54" i="11" s="1"/>
  <c r="BP58" i="11"/>
  <c r="BQ58" i="11" s="1"/>
  <c r="A59" i="11"/>
  <c r="BN55" i="11" l="1"/>
  <c r="BO55" i="11" s="1"/>
  <c r="BP59" i="11"/>
  <c r="BQ59" i="11" s="1"/>
  <c r="A60" i="11"/>
  <c r="BN56" i="11" l="1"/>
  <c r="BO56" i="11" s="1"/>
  <c r="BP60" i="11"/>
  <c r="BQ60" i="11" s="1"/>
  <c r="A61" i="11"/>
  <c r="BN57" i="11" l="1"/>
  <c r="BO57" i="11" s="1"/>
  <c r="BP61" i="11"/>
  <c r="BQ61" i="11" s="1"/>
  <c r="A62" i="11"/>
  <c r="BN58" i="11" l="1"/>
  <c r="BO58" i="11" s="1"/>
  <c r="A63" i="11"/>
  <c r="BP62" i="11"/>
  <c r="BQ62" i="11" s="1"/>
  <c r="BN59" i="11" l="1"/>
  <c r="BO59" i="11" s="1"/>
  <c r="A64" i="11"/>
  <c r="BP63" i="11"/>
  <c r="BQ63" i="11" s="1"/>
  <c r="BN60" i="11" l="1"/>
  <c r="BO60" i="11" s="1"/>
  <c r="BP64" i="11"/>
  <c r="BQ64" i="11" s="1"/>
  <c r="A65" i="11"/>
  <c r="BN61" i="11" l="1"/>
  <c r="BO61" i="11" s="1"/>
  <c r="A66" i="11"/>
  <c r="BP65" i="11"/>
  <c r="BQ65" i="11" s="1"/>
  <c r="A67" i="11" l="1"/>
  <c r="BP66" i="11"/>
  <c r="BQ66" i="11" s="1"/>
  <c r="BN62" i="11"/>
  <c r="BO62" i="11" s="1"/>
  <c r="BN63" i="11" l="1"/>
  <c r="BO63" i="11" s="1"/>
  <c r="BP67" i="11"/>
  <c r="BQ67" i="11" s="1"/>
  <c r="A68" i="11"/>
  <c r="BN64" i="11" l="1"/>
  <c r="BO64" i="11" s="1"/>
  <c r="A69" i="11"/>
  <c r="BP68" i="11"/>
  <c r="BQ68" i="11" s="1"/>
  <c r="BN65" i="11" l="1"/>
  <c r="BO65" i="11" s="1"/>
  <c r="A70" i="11"/>
  <c r="BP69" i="11"/>
  <c r="BQ69" i="11" s="1"/>
  <c r="BN66" i="11" l="1"/>
  <c r="BO66" i="11" s="1"/>
  <c r="BP70" i="11"/>
  <c r="BQ70" i="11" s="1"/>
  <c r="A71" i="11"/>
  <c r="BN67" i="11" l="1"/>
  <c r="BO67" i="11" s="1"/>
  <c r="A72" i="11"/>
  <c r="BP71" i="11"/>
  <c r="BQ71" i="11" s="1"/>
  <c r="BN68" i="11" l="1"/>
  <c r="BO68" i="11" s="1"/>
  <c r="A73" i="11"/>
  <c r="BP72" i="11"/>
  <c r="BQ72" i="11" s="1"/>
  <c r="BN69" i="11" l="1"/>
  <c r="BO69" i="11" s="1"/>
  <c r="BP73" i="11"/>
  <c r="BQ73" i="11" s="1"/>
  <c r="A74" i="11"/>
  <c r="BN70" i="11" l="1"/>
  <c r="BO70" i="11" s="1"/>
  <c r="A75" i="11"/>
  <c r="BP74" i="11"/>
  <c r="BQ74" i="11" s="1"/>
  <c r="BN71" i="11" l="1"/>
  <c r="BO71" i="11" s="1"/>
  <c r="A76" i="11"/>
  <c r="BP75" i="11"/>
  <c r="BQ75" i="11" s="1"/>
  <c r="BN72" i="11" l="1"/>
  <c r="BO72" i="11" s="1"/>
  <c r="BP76" i="11"/>
  <c r="BQ76" i="11" s="1"/>
  <c r="A77" i="11"/>
  <c r="BN73" i="11" l="1"/>
  <c r="BO73" i="11" s="1"/>
  <c r="BP77" i="11"/>
  <c r="BQ77" i="11" s="1"/>
  <c r="A78" i="11"/>
  <c r="BN74" i="11" l="1"/>
  <c r="BO74" i="11" s="1"/>
  <c r="A79" i="11"/>
  <c r="BP78" i="11"/>
  <c r="BQ78" i="11" s="1"/>
  <c r="BN75" i="11" l="1"/>
  <c r="BO75" i="11" s="1"/>
  <c r="A80" i="11"/>
  <c r="BP79" i="11"/>
  <c r="BQ79" i="11" s="1"/>
  <c r="BN76" i="11" l="1"/>
  <c r="BO76" i="11" s="1"/>
  <c r="A81" i="11"/>
  <c r="BP80" i="11"/>
  <c r="BQ80" i="11" s="1"/>
  <c r="BN77" i="11" l="1"/>
  <c r="BO77" i="11" s="1"/>
  <c r="A82" i="11"/>
  <c r="BP81" i="11"/>
  <c r="BQ81" i="11" s="1"/>
  <c r="BN78" i="11" l="1"/>
  <c r="BO78" i="11" s="1"/>
  <c r="BP82" i="11"/>
  <c r="BQ82" i="11" s="1"/>
  <c r="A83" i="11"/>
  <c r="BN79" i="11" l="1"/>
  <c r="BO79" i="11" s="1"/>
  <c r="BP83" i="11"/>
  <c r="BQ83" i="11" s="1"/>
  <c r="A84" i="11"/>
  <c r="A85" i="11" l="1"/>
  <c r="BP84" i="11"/>
  <c r="BQ84" i="11" s="1"/>
  <c r="BN80" i="11"/>
  <c r="BO80" i="11" s="1"/>
  <c r="BN81" i="11" l="1"/>
  <c r="BO81" i="11" s="1"/>
  <c r="A86" i="11"/>
  <c r="BP85" i="11"/>
  <c r="BQ85" i="11" s="1"/>
  <c r="BN82" i="11" l="1"/>
  <c r="BO82" i="11" s="1"/>
  <c r="A87" i="11"/>
  <c r="BP86" i="11"/>
  <c r="BQ86" i="11" s="1"/>
  <c r="BN83" i="11" l="1"/>
  <c r="BO83" i="11" s="1"/>
  <c r="A88" i="11"/>
  <c r="BP87" i="11"/>
  <c r="BQ87" i="11" s="1"/>
  <c r="BN84" i="11" l="1"/>
  <c r="BO84" i="11" s="1"/>
  <c r="BP88" i="11"/>
  <c r="BQ88" i="11" s="1"/>
  <c r="A89" i="11"/>
  <c r="BN85" i="11" l="1"/>
  <c r="BO85" i="11" s="1"/>
  <c r="A90" i="11"/>
  <c r="BP89" i="11"/>
  <c r="BQ89" i="11" s="1"/>
  <c r="BN86" i="11" l="1"/>
  <c r="BO86" i="11" s="1"/>
  <c r="A91" i="11"/>
  <c r="BP90" i="11"/>
  <c r="BQ90" i="11" s="1"/>
  <c r="BN87" i="11" l="1"/>
  <c r="BO87" i="11" s="1"/>
  <c r="A92" i="11"/>
  <c r="BP91" i="11"/>
  <c r="BQ91" i="11" s="1"/>
  <c r="BN88" i="11" l="1"/>
  <c r="BO88" i="11" s="1"/>
  <c r="A93" i="11"/>
  <c r="BP92" i="11"/>
  <c r="BQ92" i="11" s="1"/>
  <c r="BN89" i="11" l="1"/>
  <c r="BO89" i="11" s="1"/>
  <c r="A94" i="11"/>
  <c r="BP93" i="11"/>
  <c r="BQ93" i="11" s="1"/>
  <c r="BN90" i="11" l="1"/>
  <c r="BO90" i="11" s="1"/>
  <c r="BP94" i="11"/>
  <c r="BQ94" i="11" s="1"/>
  <c r="A95" i="11"/>
  <c r="BN91" i="11" l="1"/>
  <c r="BO91" i="11" s="1"/>
  <c r="A96" i="11"/>
  <c r="BP95" i="11"/>
  <c r="BQ95" i="11" s="1"/>
  <c r="BN92" i="11" l="1"/>
  <c r="BO92" i="11" s="1"/>
  <c r="A97" i="11"/>
  <c r="BP96" i="11"/>
  <c r="BQ96" i="11" s="1"/>
  <c r="BN93" i="11" l="1"/>
  <c r="BO93" i="11" s="1"/>
  <c r="BP97" i="11"/>
  <c r="BQ97" i="11" s="1"/>
  <c r="A98" i="11"/>
  <c r="BN94" i="11" l="1"/>
  <c r="BO94" i="11" s="1"/>
  <c r="A99" i="11"/>
  <c r="BP98" i="11"/>
  <c r="BQ98" i="11" s="1"/>
  <c r="BN95" i="11" l="1"/>
  <c r="BO95" i="11" s="1"/>
  <c r="A100" i="11"/>
  <c r="BP99" i="11"/>
  <c r="BQ99" i="11" s="1"/>
  <c r="BN96" i="11" l="1"/>
  <c r="BO96" i="11" s="1"/>
  <c r="BP100" i="11"/>
  <c r="BQ100" i="11" s="1"/>
  <c r="A101" i="11"/>
  <c r="BN97" i="11" l="1"/>
  <c r="BO97" i="11" s="1"/>
  <c r="A102" i="11"/>
  <c r="BP101" i="11"/>
  <c r="BQ101" i="11" s="1"/>
  <c r="A103" i="11" l="1"/>
  <c r="BP102" i="11"/>
  <c r="BQ102" i="11" s="1"/>
  <c r="BN98" i="11"/>
  <c r="BO98" i="11" s="1"/>
  <c r="BN99" i="11" l="1"/>
  <c r="BO99" i="11" s="1"/>
  <c r="BP103" i="11"/>
  <c r="BQ103" i="11" s="1"/>
  <c r="A104" i="11"/>
  <c r="BN100" i="11" l="1"/>
  <c r="BO100" i="11" s="1"/>
  <c r="A105" i="11"/>
  <c r="BP104" i="11"/>
  <c r="BQ104" i="11" s="1"/>
  <c r="BN101" i="11" l="1"/>
  <c r="BO101" i="11" s="1"/>
  <c r="A106" i="11"/>
  <c r="BP105" i="11"/>
  <c r="BQ105" i="11" s="1"/>
  <c r="BN102" i="11" l="1"/>
  <c r="BO102" i="11" s="1"/>
  <c r="BP106" i="11"/>
  <c r="BQ106" i="11" s="1"/>
  <c r="A107" i="11"/>
  <c r="BN103" i="11" l="1"/>
  <c r="BO103" i="11" s="1"/>
  <c r="A108" i="11"/>
  <c r="BP107" i="11"/>
  <c r="BQ107" i="11" s="1"/>
  <c r="BN104" i="11" l="1"/>
  <c r="BO104" i="11" s="1"/>
  <c r="A109" i="11"/>
  <c r="BP108" i="11"/>
  <c r="BQ108" i="11" s="1"/>
  <c r="BN105" i="11" l="1"/>
  <c r="BO105" i="11" s="1"/>
  <c r="BP109" i="11"/>
  <c r="BQ109" i="11" s="1"/>
  <c r="A110" i="11"/>
  <c r="BN106" i="11" l="1"/>
  <c r="BO106" i="11" s="1"/>
  <c r="BP110" i="11"/>
  <c r="BQ110" i="11" s="1"/>
  <c r="A111" i="11"/>
  <c r="BP111" i="11" l="1"/>
  <c r="BQ111" i="11" s="1"/>
  <c r="A112" i="11"/>
  <c r="BN107" i="11"/>
  <c r="BO107" i="11" s="1"/>
  <c r="BN108" i="11" l="1"/>
  <c r="BO108" i="11" s="1"/>
  <c r="BP112" i="11"/>
  <c r="BQ112" i="11" s="1"/>
  <c r="A113" i="11"/>
  <c r="BN109" i="11" l="1"/>
  <c r="BO109" i="11" s="1"/>
  <c r="A114" i="11"/>
  <c r="BP113" i="11"/>
  <c r="BQ113" i="11" s="1"/>
  <c r="BN110" i="11" l="1"/>
  <c r="BO110" i="11" s="1"/>
  <c r="A115" i="11"/>
  <c r="BP114" i="11"/>
  <c r="BQ114" i="11" s="1"/>
  <c r="BN111" i="11" l="1"/>
  <c r="BO111" i="11" s="1"/>
  <c r="BP115" i="11"/>
  <c r="BQ115" i="11" s="1"/>
  <c r="A116" i="11"/>
  <c r="BN112" i="11" l="1"/>
  <c r="BO112" i="11" s="1"/>
  <c r="BP116" i="11"/>
  <c r="BQ116" i="11" s="1"/>
  <c r="A117" i="11"/>
  <c r="A118" i="11" l="1"/>
  <c r="BP117" i="11"/>
  <c r="BQ117" i="11" s="1"/>
  <c r="BN113" i="11"/>
  <c r="BO113" i="11" s="1"/>
  <c r="BN114" i="11" l="1"/>
  <c r="BO114" i="11" s="1"/>
  <c r="A119" i="11"/>
  <c r="BP118" i="11"/>
  <c r="BQ118" i="11" s="1"/>
  <c r="BN115" i="11" l="1"/>
  <c r="BO115" i="11" s="1"/>
  <c r="A120" i="11"/>
  <c r="BP119" i="11"/>
  <c r="BQ119" i="11" s="1"/>
  <c r="BN116" i="11" l="1"/>
  <c r="BO116" i="11" s="1"/>
  <c r="BP120" i="11"/>
  <c r="BQ120" i="11" s="1"/>
  <c r="A121" i="11"/>
  <c r="BN117" i="11" l="1"/>
  <c r="BO117" i="11" s="1"/>
  <c r="A122" i="11"/>
  <c r="BP121" i="11"/>
  <c r="BQ121" i="11" s="1"/>
  <c r="BN118" i="11" l="1"/>
  <c r="BO118" i="11" s="1"/>
  <c r="A123" i="11"/>
  <c r="BP122" i="11"/>
  <c r="BQ122" i="11" s="1"/>
  <c r="A124" i="11" l="1"/>
  <c r="BP123" i="11"/>
  <c r="BQ123" i="11" s="1"/>
  <c r="BN119" i="11"/>
  <c r="BO119" i="11" s="1"/>
  <c r="BN120" i="11" l="1"/>
  <c r="BO120" i="11" s="1"/>
  <c r="A125" i="11"/>
  <c r="BP124" i="11"/>
  <c r="BQ124" i="11" s="1"/>
  <c r="BN121" i="11" l="1"/>
  <c r="BO121" i="11" s="1"/>
  <c r="BP125" i="11"/>
  <c r="BQ125" i="11" s="1"/>
  <c r="A126" i="11"/>
  <c r="BN122" i="11" l="1"/>
  <c r="BO122" i="11" s="1"/>
  <c r="BP126" i="11"/>
  <c r="BQ126" i="11" s="1"/>
  <c r="A127" i="11"/>
  <c r="BN123" i="11" l="1"/>
  <c r="BO123" i="11" s="1"/>
  <c r="A128" i="11"/>
  <c r="BP127" i="11"/>
  <c r="BQ127" i="11" s="1"/>
  <c r="BN124" i="11" l="1"/>
  <c r="BO124" i="11" s="1"/>
  <c r="A129" i="11"/>
  <c r="BP128" i="11"/>
  <c r="BQ128" i="11" s="1"/>
  <c r="BN125" i="11" l="1"/>
  <c r="BO125" i="11" s="1"/>
  <c r="A130" i="11"/>
  <c r="BP129" i="11"/>
  <c r="BQ129" i="11" s="1"/>
  <c r="BN126" i="11" l="1"/>
  <c r="BO126" i="11" s="1"/>
  <c r="A131" i="11"/>
  <c r="BP130" i="11"/>
  <c r="BQ130" i="11" s="1"/>
  <c r="BN127" i="11" l="1"/>
  <c r="BO127" i="11" s="1"/>
  <c r="BP131" i="11"/>
  <c r="BQ131" i="11" s="1"/>
  <c r="A132" i="11"/>
  <c r="BN128" i="11" l="1"/>
  <c r="BO128" i="11" s="1"/>
  <c r="BP132" i="11"/>
  <c r="BQ132" i="11" s="1"/>
  <c r="A133" i="11"/>
  <c r="BN129" i="11" l="1"/>
  <c r="BO129" i="11" s="1"/>
  <c r="A134" i="11"/>
  <c r="BP133" i="11"/>
  <c r="BQ133" i="11" s="1"/>
  <c r="BN130" i="11" l="1"/>
  <c r="BO130" i="11" s="1"/>
  <c r="A135" i="11"/>
  <c r="BP134" i="11"/>
  <c r="BQ134" i="11" s="1"/>
  <c r="BN131" i="11" l="1"/>
  <c r="BO131" i="11" s="1"/>
  <c r="A136" i="11"/>
  <c r="BP135" i="11"/>
  <c r="BQ135" i="11" s="1"/>
  <c r="BN132" i="11" l="1"/>
  <c r="BO132" i="11" s="1"/>
  <c r="A137" i="11"/>
  <c r="BP136" i="11"/>
  <c r="BQ136" i="11" s="1"/>
  <c r="BN133" i="11" l="1"/>
  <c r="BO133" i="11" s="1"/>
  <c r="BP137" i="11"/>
  <c r="BQ137" i="11" s="1"/>
  <c r="A138" i="11"/>
  <c r="BN134" i="11" l="1"/>
  <c r="BO134" i="11" s="1"/>
  <c r="BP138" i="11"/>
  <c r="BQ138" i="11" s="1"/>
  <c r="A139" i="11"/>
  <c r="BN135" i="11" l="1"/>
  <c r="BO135" i="11" s="1"/>
  <c r="A140" i="11"/>
  <c r="BP139" i="11"/>
  <c r="BQ139" i="11" s="1"/>
  <c r="BN136" i="11" l="1"/>
  <c r="BO136" i="11" s="1"/>
  <c r="A141" i="11"/>
  <c r="BP140" i="11"/>
  <c r="BQ140" i="11" s="1"/>
  <c r="BN137" i="11" l="1"/>
  <c r="BO137" i="11" s="1"/>
  <c r="A142" i="11"/>
  <c r="BP141" i="11"/>
  <c r="BQ141" i="11" s="1"/>
  <c r="BN138" i="11" l="1"/>
  <c r="BO138" i="11" s="1"/>
  <c r="A143" i="11"/>
  <c r="BP142" i="11"/>
  <c r="BQ142" i="11" s="1"/>
  <c r="BN139" i="11" l="1"/>
  <c r="BO139" i="11" s="1"/>
  <c r="BP143" i="11"/>
  <c r="BQ143" i="11" s="1"/>
  <c r="A144" i="11"/>
  <c r="BN140" i="11" l="1"/>
  <c r="BO140" i="11" s="1"/>
  <c r="BP144" i="11"/>
  <c r="BQ144" i="11" s="1"/>
  <c r="A145" i="11"/>
  <c r="BN141" i="11" l="1"/>
  <c r="BO141" i="11" s="1"/>
  <c r="A146" i="11"/>
  <c r="BP145" i="11"/>
  <c r="BQ145" i="11" s="1"/>
  <c r="BN142" i="11" l="1"/>
  <c r="BO142" i="11" s="1"/>
  <c r="A147" i="11"/>
  <c r="BP146" i="11"/>
  <c r="BQ146" i="11" s="1"/>
  <c r="BN143" i="11" l="1"/>
  <c r="BO143" i="11" s="1"/>
  <c r="A148" i="11"/>
  <c r="BP147" i="11"/>
  <c r="BQ147" i="11" s="1"/>
  <c r="BN144" i="11" l="1"/>
  <c r="BO144" i="11" s="1"/>
  <c r="A149" i="11"/>
  <c r="BP148" i="11"/>
  <c r="BQ148" i="11" s="1"/>
  <c r="BN145" i="11" l="1"/>
  <c r="BO145" i="11" s="1"/>
  <c r="BP149" i="11"/>
  <c r="BQ149" i="11" s="1"/>
  <c r="A150" i="11"/>
  <c r="BN146" i="11" l="1"/>
  <c r="BO146" i="11" s="1"/>
  <c r="BP150" i="11"/>
  <c r="BQ150" i="11" s="1"/>
  <c r="A151" i="11"/>
  <c r="BN147" i="11" l="1"/>
  <c r="BO147" i="11" s="1"/>
  <c r="A152" i="11"/>
  <c r="BP151" i="11"/>
  <c r="BQ151" i="11" s="1"/>
  <c r="BN148" i="11" l="1"/>
  <c r="BO148" i="11" s="1"/>
  <c r="A153" i="11"/>
  <c r="BP152" i="11"/>
  <c r="BQ152" i="11" s="1"/>
  <c r="BN149" i="11" l="1"/>
  <c r="BO149" i="11" s="1"/>
  <c r="A154" i="11"/>
  <c r="BP153" i="11"/>
  <c r="BQ153" i="11" s="1"/>
  <c r="BN150" i="11" l="1"/>
  <c r="BO150" i="11" s="1"/>
  <c r="A155" i="11"/>
  <c r="BP154" i="11"/>
  <c r="BQ154" i="11" s="1"/>
  <c r="BN151" i="11" l="1"/>
  <c r="BO151" i="11" s="1"/>
  <c r="BP155" i="11"/>
  <c r="BQ155" i="11" s="1"/>
  <c r="A156" i="11"/>
  <c r="BN152" i="11" l="1"/>
  <c r="BO152" i="11" s="1"/>
  <c r="BP156" i="11"/>
  <c r="BQ156" i="11" s="1"/>
  <c r="A157" i="11"/>
  <c r="BN153" i="11" l="1"/>
  <c r="BO153" i="11" s="1"/>
  <c r="A158" i="11"/>
  <c r="BP157" i="11"/>
  <c r="BQ157" i="11" s="1"/>
  <c r="BN154" i="11" l="1"/>
  <c r="BO154" i="11" s="1"/>
  <c r="A159" i="11"/>
  <c r="BP159" i="11" s="1"/>
  <c r="BP158" i="11"/>
  <c r="BQ158" i="11" s="1"/>
  <c r="BN155" i="11" l="1"/>
  <c r="BO155" i="11" s="1"/>
  <c r="BQ159" i="11"/>
  <c r="BQ160" i="11" s="1"/>
  <c r="BP160" i="11"/>
  <c r="E4" i="11" l="1"/>
  <c r="BN156" i="11"/>
  <c r="BO156" i="11" s="1"/>
  <c r="BN157" i="11" l="1"/>
  <c r="BO157" i="11" s="1"/>
  <c r="BN158" i="11" l="1"/>
  <c r="BO158" i="11" s="1"/>
  <c r="BN159" i="11" l="1"/>
  <c r="BO159" i="11" s="1"/>
  <c r="F3" i="7" l="1"/>
  <c r="C8" i="9" l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F20" i="7"/>
  <c r="F19" i="7"/>
  <c r="F7" i="7"/>
  <c r="F12" i="7" s="1"/>
  <c r="F13" i="7" l="1"/>
  <c r="D8" i="9" s="1"/>
  <c r="D9" i="9" s="1"/>
  <c r="K9" i="9" s="1"/>
  <c r="C27" i="8"/>
  <c r="C26" i="8" s="1"/>
  <c r="C25" i="8" s="1"/>
  <c r="C24" i="8" s="1"/>
  <c r="C23" i="8" s="1"/>
  <c r="C22" i="8" s="1"/>
  <c r="C21" i="8" s="1"/>
  <c r="C20" i="8" s="1"/>
  <c r="C19" i="8" s="1"/>
  <c r="C18" i="8" s="1"/>
  <c r="A15" i="8"/>
  <c r="A14" i="8"/>
  <c r="J17" i="8"/>
  <c r="I17" i="8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C7" i="9"/>
  <c r="G28" i="8"/>
  <c r="F28" i="8"/>
  <c r="A28" i="8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H28" i="8" l="1"/>
  <c r="F17" i="7"/>
  <c r="D10" i="9"/>
  <c r="F27" i="8"/>
  <c r="H26" i="8" s="1"/>
  <c r="G27" i="8"/>
  <c r="I28" i="8" s="1"/>
  <c r="G17" i="8"/>
  <c r="H17" i="8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27" i="8"/>
  <c r="A26" i="8" s="1"/>
  <c r="A25" i="8" s="1"/>
  <c r="A24" i="8" s="1"/>
  <c r="A23" i="8" s="1"/>
  <c r="A22" i="8" s="1"/>
  <c r="A21" i="8" s="1"/>
  <c r="A20" i="8" s="1"/>
  <c r="A19" i="8" s="1"/>
  <c r="A18" i="8" s="1"/>
  <c r="H27" i="8"/>
  <c r="A10" i="8"/>
  <c r="A9" i="8"/>
  <c r="D11" i="9" l="1"/>
  <c r="K10" i="9"/>
  <c r="G26" i="8"/>
  <c r="I27" i="8" s="1"/>
  <c r="F26" i="8"/>
  <c r="H25" i="8" s="1"/>
  <c r="J26" i="8" s="1"/>
  <c r="J27" i="8"/>
  <c r="J28" i="8"/>
  <c r="G25" i="8" l="1"/>
  <c r="F25" i="8"/>
  <c r="F24" i="8" s="1"/>
  <c r="D12" i="9"/>
  <c r="K11" i="9"/>
  <c r="I26" i="8"/>
  <c r="G24" i="8" l="1"/>
  <c r="I25" i="8" s="1"/>
  <c r="H24" i="8"/>
  <c r="J25" i="8" s="1"/>
  <c r="D13" i="9"/>
  <c r="K12" i="9"/>
  <c r="F23" i="8"/>
  <c r="H23" i="8"/>
  <c r="G23" i="8"/>
  <c r="I24" i="8" s="1"/>
  <c r="D14" i="9" l="1"/>
  <c r="K13" i="9"/>
  <c r="H22" i="8"/>
  <c r="G22" i="8"/>
  <c r="F22" i="8"/>
  <c r="J24" i="8"/>
  <c r="D15" i="9" l="1"/>
  <c r="K14" i="9"/>
  <c r="H21" i="8"/>
  <c r="G21" i="8"/>
  <c r="F21" i="8"/>
  <c r="I23" i="8"/>
  <c r="J23" i="8"/>
  <c r="D16" i="9" l="1"/>
  <c r="K15" i="9"/>
  <c r="G20" i="8"/>
  <c r="I21" i="8" s="1"/>
  <c r="H20" i="8"/>
  <c r="J21" i="8" s="1"/>
  <c r="F20" i="8"/>
  <c r="F19" i="8" s="1"/>
  <c r="J22" i="8"/>
  <c r="I22" i="8"/>
  <c r="D17" i="9" l="1"/>
  <c r="K16" i="9"/>
  <c r="G19" i="8"/>
  <c r="I20" i="8" s="1"/>
  <c r="H19" i="8"/>
  <c r="J20" i="8" s="1"/>
  <c r="D18" i="9" l="1"/>
  <c r="K17" i="9"/>
  <c r="H18" i="8"/>
  <c r="J18" i="8" s="1"/>
  <c r="G18" i="8"/>
  <c r="I18" i="8" s="1"/>
  <c r="D19" i="9" l="1"/>
  <c r="K18" i="9"/>
  <c r="J19" i="8"/>
  <c r="B15" i="8" s="1"/>
  <c r="I19" i="8"/>
  <c r="D20" i="9" l="1"/>
  <c r="K19" i="9"/>
  <c r="D21" i="9" l="1"/>
  <c r="K20" i="9"/>
  <c r="C21" i="10" s="1"/>
  <c r="D21" i="10" s="1"/>
  <c r="C19" i="10"/>
  <c r="D19" i="10" s="1"/>
  <c r="C11" i="10"/>
  <c r="D11" i="10" s="1"/>
  <c r="C15" i="10"/>
  <c r="D15" i="10" s="1"/>
  <c r="C20" i="10"/>
  <c r="D20" i="10" s="1"/>
  <c r="C10" i="10"/>
  <c r="D10" i="10" s="1"/>
  <c r="C13" i="10"/>
  <c r="D13" i="10" s="1"/>
  <c r="C14" i="10"/>
  <c r="D14" i="10" s="1"/>
  <c r="C16" i="10"/>
  <c r="D16" i="10" s="1"/>
  <c r="C18" i="10"/>
  <c r="D18" i="10" s="1"/>
  <c r="C12" i="10"/>
  <c r="D12" i="10" s="1"/>
  <c r="K8" i="9"/>
  <c r="C9" i="10" s="1"/>
  <c r="D9" i="10" s="1"/>
  <c r="D22" i="9" l="1"/>
  <c r="K21" i="9"/>
  <c r="C22" i="10" s="1"/>
  <c r="D22" i="10" s="1"/>
  <c r="C17" i="10"/>
  <c r="D17" i="10" s="1"/>
  <c r="D23" i="9" l="1"/>
  <c r="K22" i="9"/>
  <c r="C23" i="10" s="1"/>
  <c r="D23" i="10" s="1"/>
  <c r="E11" i="10"/>
  <c r="D24" i="9" l="1"/>
  <c r="K23" i="9"/>
  <c r="C24" i="10" s="1"/>
  <c r="D24" i="10" s="1"/>
  <c r="E12" i="10"/>
  <c r="D25" i="9" l="1"/>
  <c r="K24" i="9"/>
  <c r="C25" i="10" s="1"/>
  <c r="D25" i="10" s="1"/>
  <c r="E13" i="10"/>
  <c r="D26" i="9" l="1"/>
  <c r="K25" i="9"/>
  <c r="C26" i="10" s="1"/>
  <c r="D26" i="10" s="1"/>
  <c r="E14" i="10"/>
  <c r="D27" i="9" l="1"/>
  <c r="K26" i="9"/>
  <c r="C27" i="10" s="1"/>
  <c r="D27" i="10" s="1"/>
  <c r="E16" i="10"/>
  <c r="D28" i="9" l="1"/>
  <c r="K27" i="9"/>
  <c r="C28" i="10" s="1"/>
  <c r="D28" i="10" s="1"/>
  <c r="E17" i="10"/>
  <c r="D29" i="9" l="1"/>
  <c r="K28" i="9"/>
  <c r="C29" i="10" s="1"/>
  <c r="D29" i="10" s="1"/>
  <c r="E18" i="10"/>
  <c r="D30" i="9" l="1"/>
  <c r="K29" i="9"/>
  <c r="C30" i="10" s="1"/>
  <c r="D30" i="10" s="1"/>
  <c r="E19" i="10"/>
  <c r="D31" i="9" l="1"/>
  <c r="K30" i="9"/>
  <c r="C31" i="10" s="1"/>
  <c r="D31" i="10" s="1"/>
  <c r="E20" i="10"/>
  <c r="D32" i="9" l="1"/>
  <c r="K31" i="9"/>
  <c r="C32" i="10" s="1"/>
  <c r="D32" i="10" s="1"/>
  <c r="E21" i="10"/>
  <c r="D33" i="9" l="1"/>
  <c r="K32" i="9"/>
  <c r="C33" i="10" s="1"/>
  <c r="D33" i="10" s="1"/>
  <c r="E22" i="10"/>
  <c r="D34" i="9" l="1"/>
  <c r="K33" i="9"/>
  <c r="C34" i="10" s="1"/>
  <c r="D34" i="10" s="1"/>
  <c r="E23" i="10"/>
  <c r="D35" i="9" l="1"/>
  <c r="K34" i="9"/>
  <c r="C35" i="10" s="1"/>
  <c r="D35" i="10" s="1"/>
  <c r="E24" i="10"/>
  <c r="D36" i="9" l="1"/>
  <c r="K35" i="9"/>
  <c r="C36" i="10" s="1"/>
  <c r="D36" i="10" s="1"/>
  <c r="E25" i="10"/>
  <c r="D37" i="9" l="1"/>
  <c r="K36" i="9"/>
  <c r="C37" i="10" s="1"/>
  <c r="D37" i="10" s="1"/>
  <c r="E26" i="10"/>
  <c r="D38" i="9" l="1"/>
  <c r="K37" i="9"/>
  <c r="C38" i="10" s="1"/>
  <c r="D38" i="10" s="1"/>
  <c r="E27" i="10"/>
  <c r="D39" i="9" l="1"/>
  <c r="K38" i="9"/>
  <c r="C39" i="10" s="1"/>
  <c r="D39" i="10" s="1"/>
  <c r="E28" i="10"/>
  <c r="D40" i="9" l="1"/>
  <c r="K39" i="9"/>
  <c r="C40" i="10" s="1"/>
  <c r="D40" i="10" s="1"/>
  <c r="E29" i="10"/>
  <c r="D41" i="9" l="1"/>
  <c r="K40" i="9"/>
  <c r="C41" i="10" s="1"/>
  <c r="D41" i="10" s="1"/>
  <c r="E30" i="10"/>
  <c r="D42" i="9" l="1"/>
  <c r="K41" i="9"/>
  <c r="C42" i="10" s="1"/>
  <c r="D42" i="10" s="1"/>
  <c r="E31" i="10"/>
  <c r="D43" i="9" l="1"/>
  <c r="K43" i="9" s="1"/>
  <c r="C44" i="10" s="1"/>
  <c r="D44" i="10" s="1"/>
  <c r="K42" i="9"/>
  <c r="C43" i="10" s="1"/>
  <c r="D43" i="10" s="1"/>
  <c r="E32" i="10"/>
  <c r="E33" i="10" l="1"/>
  <c r="E34" i="10" l="1"/>
  <c r="E35" i="10" l="1"/>
  <c r="E36" i="10" l="1"/>
  <c r="E37" i="10" l="1"/>
  <c r="E39" i="10" l="1"/>
  <c r="E40" i="10" l="1"/>
  <c r="E41" i="10" l="1"/>
  <c r="E42" i="10" l="1"/>
  <c r="E43" i="10" l="1"/>
  <c r="E44" i="10" l="1"/>
</calcChain>
</file>

<file path=xl/sharedStrings.xml><?xml version="1.0" encoding="utf-8"?>
<sst xmlns="http://schemas.openxmlformats.org/spreadsheetml/2006/main" count="149" uniqueCount="138">
  <si>
    <t>INFORMAÇÕES PRELIMINARES</t>
  </si>
  <si>
    <t>CONTRIBUIÇÕES FUTURAS DE APOSENTADOS  E PENSIONISTAS -  BENEFÍCIOS CONCEDIDOS</t>
  </si>
  <si>
    <t>CONTRIBUIÇÕES FUTURAS DO ENTE - BENEFÍCIOS A CONCEDER</t>
  </si>
  <si>
    <t>CONTRIBUIÇÕES FUTURAS DOS ATIVOS - BENEFÍCIOS A CONCEDER</t>
  </si>
  <si>
    <t>CONTRIB. FUT. APOSENTADOS - BENEF. A CONCEDER</t>
  </si>
  <si>
    <t>CONTRIB. FUT. PENSIONISTAS - BENEF. A CONCEDER</t>
  </si>
  <si>
    <t>OUTRAS RECEITAS - BENEF. A CONCEDER</t>
  </si>
  <si>
    <t>TOTAL</t>
  </si>
  <si>
    <t>ENCARGOS - BENEFÍCIOS CONCEDIDOS</t>
  </si>
  <si>
    <t>ENCARGOS - BENEFÍCIOS A CONCEDER</t>
  </si>
  <si>
    <t>RESULTADOS</t>
  </si>
  <si>
    <t>Instante</t>
  </si>
  <si>
    <t>Ano</t>
  </si>
  <si>
    <t>Taxa de Juros (%)</t>
  </si>
  <si>
    <t>Fator de Desconto</t>
  </si>
  <si>
    <t>Base de Cálculo da Contribuição Normal</t>
  </si>
  <si>
    <t>Benefícios Concedidos - Contribuições dos Aposentados</t>
  </si>
  <si>
    <t>Benefícios Concedidos - Contribuições Futuras dos Aposentados - Aposentadorias Programadas</t>
  </si>
  <si>
    <t>Benefícios Concedidos - Contribuições Futuras dos Aposentados - Aposentadorias Especiais de Professores</t>
  </si>
  <si>
    <t>Benefícios Concedidos - Contribuições Futuras dos Aposentados - Outras Aposentadorias Especiais</t>
  </si>
  <si>
    <t>Benefícios Concedidos - Contribuições Futuras dos Aposentados - Aposentadorias por Invalidez</t>
  </si>
  <si>
    <t>Benefícios Concedidos - Contribuições  dos Pensionistas</t>
  </si>
  <si>
    <t>Benefícios Concedidos - Compensação Previdenciária a Receber</t>
  </si>
  <si>
    <t>Benefícios a Conceder - Contribuições do Ente</t>
  </si>
  <si>
    <t>Benefícios a Conceder - Contribuições Futuras do Ente  - Aposentadorias Programadas</t>
  </si>
  <si>
    <t>Benefícios a Conceder - Contribuições Futuras do Ente  - Aposentadorias Especiais de Professores</t>
  </si>
  <si>
    <t>Benefícios a Conceder - Contribuições Futuras do Ente  - Outras Aposentadorias Especiais</t>
  </si>
  <si>
    <t>Benefícios a Conceder - Contribuições Futuras do Ente  - Aposentadorias por Invalidez</t>
  </si>
  <si>
    <t>Benefícios a Conceder - Contribuições Futuras do Ente  - Pensões Por Morte de Servidores em Atividade</t>
  </si>
  <si>
    <t>Benefícios a Conceder - Contribuições Futuras do Ente  - Pensões Por Morte de Aposentados</t>
  </si>
  <si>
    <t>Benefícios a Conceder - Contribuições Futuras do Ente  -  Outros Benefícios e Auxílios</t>
  </si>
  <si>
    <t>Benefícios a Conceder - Contribuições dos Segurados Ativos</t>
  </si>
  <si>
    <t>Benefícios a Conceder - Contribuições Futuras dos Segurados Ativos - Aposentadorias Programadas</t>
  </si>
  <si>
    <t>Benefícios a Conceder - Contribuições Futuras dos Segurados Ativos - Aposentadorias Especiais de Professores</t>
  </si>
  <si>
    <t>Benefícios a Conceder - Contribuições Futuras dos Segurados Ativos - Outras Aposentadorias Especiais</t>
  </si>
  <si>
    <t>Benefícios a Conceder - Contribuições Futuras dos Segurados Ativos - Aposentadorias por Invalidez</t>
  </si>
  <si>
    <t>Benefícios a Conceder - Contribuições Futuras dos Segurados Ativos  - Pensões Por Morte de Segurados em Atividade</t>
  </si>
  <si>
    <t>Benefícios a Conceder - Contribuições Futuras dos Segurados Ativos - Pensões Por Morte de Aposentados</t>
  </si>
  <si>
    <t>Benefícios a Conceder - Contribuições Futuras dos Segurados Ativos  -  Outros Benefícios e Auxílios</t>
  </si>
  <si>
    <t>Benefícios a Conceder - Contribuições dos Aposentados</t>
  </si>
  <si>
    <t>Benefícios a Conceder - Contribuições Futuras dos Aposentados  - Aposentadorias Programadas</t>
  </si>
  <si>
    <t>Benefícios a Conceder - Contribuições Futuras dos Aposentados  - Aposentadorias Especiais de Professores</t>
  </si>
  <si>
    <t>Benefícios a Conceder - Contribuições Futuras dos Aposentados  - Outras Aposentadorias Especiais</t>
  </si>
  <si>
    <t>Benefícios a Conceder - Contribuições Futuras dos Aposentados  - Aposentadorias por Invalidez</t>
  </si>
  <si>
    <t>Benefícios a Conceder - Contribuições dos Pensionistas</t>
  </si>
  <si>
    <t>Benefícios a Conceder - Contribuições Futuras dos Pensionistas - Aposentadorias Programadas</t>
  </si>
  <si>
    <t>Benefícios a Conceder - Contribuições Futuras dos Pensionistas - Aposentadorias Especiais de Professores</t>
  </si>
  <si>
    <t>Benefícios a Conceder - Contribuições Futuras dos Pensionistas - Outras Aposentadorias Especiais</t>
  </si>
  <si>
    <t>Benefícios a Conceder - Contribuições Futuras dos Pensionistas - Aposentadorias por Invalidez</t>
  </si>
  <si>
    <t>Benefícios a Conceder - Contribuições Futuras dos Pensionistas - Pensões Por Morte de Segurados em Atividade</t>
  </si>
  <si>
    <t>Benefícios a Conceder - Compensação Previdenciária a Receber</t>
  </si>
  <si>
    <t>Plano de Amortização do Déficit Atuarial estabelecido em lei</t>
  </si>
  <si>
    <t>Parcelamentos de Débitos Previdenciários</t>
  </si>
  <si>
    <t>Valor Atual da Cobertura da Insuficiência Financeira (Outras Receitas)</t>
  </si>
  <si>
    <t>(A) TOTAL DAS RECEITAS COM CONTRIBUIÇÕES E COMPENSAÇÃO PREVIDENCIÁRIA</t>
  </si>
  <si>
    <t>Benefícios Concedidos -  Encargos</t>
  </si>
  <si>
    <t>Benefícios Concedidos - Encargos - Aposentadorias Programadas</t>
  </si>
  <si>
    <t>Benefícios Concedidos - Encargos - Aposentadorias Especiais de Professores</t>
  </si>
  <si>
    <t>Benefícios Concedidos - Encargos - Outras Aposentadorias Especiais</t>
  </si>
  <si>
    <t>Benefícios Concedidos - Encargos - Aposentadorias por Invalidez</t>
  </si>
  <si>
    <t>Benefícios Concedidos - Encargos - Pensões Por Morte</t>
  </si>
  <si>
    <t>Benefícios Concedidos - Encargos - Compensação Previdenciária a Pagar</t>
  </si>
  <si>
    <t>Benefícios a Conceder - Encargos</t>
  </si>
  <si>
    <t>Benefícios a Conceder - Encargos -  Aposentadorias Programadas</t>
  </si>
  <si>
    <t>Benefícios a Conceder - Encargos -  Aposentadorias Especiais de Professores</t>
  </si>
  <si>
    <t>Benefícios a Conceder - Encargos -  Outras Aposentadorias Especiais</t>
  </si>
  <si>
    <t>Benefícios a Conceder - Encargos -  Aposentadorias por Invalidez</t>
  </si>
  <si>
    <t>Benefícios a Conceder - Encargos -  Pensões Por Morte de Servidores em Atividade</t>
  </si>
  <si>
    <t>Benefícios a Conceder - Encargos -  Pensões Por Morte de Aposentados</t>
  </si>
  <si>
    <t>Benefícios a Conceder - Encargos -  Outros Benefícios e Auxílios</t>
  </si>
  <si>
    <t>Benefícios a Conceder - Encargos -  Compensação Previdenciária a Pagar</t>
  </si>
  <si>
    <t>Outras Despesas</t>
  </si>
  <si>
    <t>(B) TOTAL  DAS DESPESAS COM BENEFÍCIOS DO PLANO</t>
  </si>
  <si>
    <t>(C) INSUFICIÊNCIA OU EXCEDENTE FINANCEIRO (A-B)</t>
  </si>
  <si>
    <t>(D) SALDO ACUMULADO DO EXERCÍCIO  A VALOR ATUAL</t>
  </si>
  <si>
    <t>(E) RENTABILIDADE ESPERADA (%)</t>
  </si>
  <si>
    <t>Totais de Controle:</t>
  </si>
  <si>
    <t>Totais de Controle  a Valor Atual:</t>
  </si>
  <si>
    <t>Duração do Passivo</t>
  </si>
  <si>
    <t>( H ) BENEFÍCIOS LÍQUIDOS A VALOR PRESENTE</t>
  </si>
  <si>
    <t>( I ) BENEFÍCIOS LÍQUIDOS PONDERADOS PELO INSTANTE</t>
  </si>
  <si>
    <t>CÁLCULO DURATION</t>
  </si>
  <si>
    <t>Taxa de Juros da avaliação atuarial do exercício anterior:</t>
  </si>
  <si>
    <t>DESPESA COM PESSOAL</t>
  </si>
  <si>
    <t>DESPESAS EXECUTADAS</t>
  </si>
  <si>
    <t>(Últimos 12 Meses)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</si>
  <si>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</si>
  <si>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</si>
  <si>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</si>
  <si>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</si>
  <si>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</si>
  <si>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</si>
  <si>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</si>
  <si>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</si>
  <si>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</si>
  <si>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</si>
  <si>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</si>
  <si>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</si>
  <si>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</si>
  <si>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</si>
  <si>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</si>
  <si>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- &lt;%&gt;</t>
  </si>
  <si>
    <t>LIMITE PRUDENCIAL (parágrafo único, art. 22 da LRF) - &lt;%&gt;</t>
  </si>
  <si>
    <t>LIMITE DE ALERTA (inciso II do § 1º do art. 59 da LRF) - &lt;%&gt;</t>
  </si>
  <si>
    <t>Ano base da Avaliação</t>
  </si>
  <si>
    <t>Data Base:</t>
  </si>
  <si>
    <t>Data Cálculo:</t>
  </si>
  <si>
    <t>Calculado</t>
  </si>
  <si>
    <t>Informado</t>
  </si>
  <si>
    <t>Despesa com Pessoal (exceto RPPS)</t>
  </si>
  <si>
    <t>Dívida Consolidada Líquida – DCL</t>
  </si>
  <si>
    <t>Resultado Atuarial</t>
  </si>
  <si>
    <t>ANO</t>
  </si>
  <si>
    <t>RECEITA CORRENTE LÍQUIDA - RCL</t>
  </si>
  <si>
    <t>DESPESA LÍQUIDA COM PESSOAL</t>
  </si>
  <si>
    <t>Inflação do Ano</t>
  </si>
  <si>
    <t>Inflação Acumulada</t>
  </si>
  <si>
    <t>02 - Incremento do Custeio Especial proposto na RCL projetada do Ente</t>
  </si>
  <si>
    <t>Ente:</t>
  </si>
  <si>
    <t>Impacto do deficit atuarial após a inclusão no Quociente do Limite de Endividamento</t>
  </si>
  <si>
    <t>No.</t>
  </si>
  <si>
    <t>Aposentadorias e Pensões (Códigos 210000 e 220000)</t>
  </si>
  <si>
    <t>Contribuição Patronal (Código 121000 - Todos os Planos)</t>
  </si>
  <si>
    <t>Contribuição Suplementar (Código 130101 - Todos os Planos)</t>
  </si>
  <si>
    <t>Parcelamentos (Código 130201 - Todos os Planos)</t>
  </si>
  <si>
    <t>Insuficiência ou Excedente Financeiro (Código 250001 - Todos os Planos)</t>
  </si>
  <si>
    <t>Despesa com Pessoal - LRF</t>
  </si>
  <si>
    <t>Evolução dos Recursos Garantidores (Código 290001)</t>
  </si>
  <si>
    <t>Impacto da Despesa Total de Pessoal na RCL</t>
  </si>
  <si>
    <t>Relação com Limite Prudencial (Parágrafo único do art. 22 da LRF)</t>
  </si>
  <si>
    <t>Efetividade do Plano de Amortização</t>
  </si>
  <si>
    <t>Pessoal Ativo Efetivo (Código 109001)</t>
  </si>
  <si>
    <t>Indicadores de Viabilidade do Plano de Custeio</t>
  </si>
  <si>
    <t>01 - Crescimento Médio da Receita Corrente Líquida (RCL) e Despesa com Pessoal</t>
  </si>
  <si>
    <t>FLUXO ATUARIAL   -   CIVIL   -   PLANO PREVIDENCIÁRIO   -   BENEFÍCIOS AVALIADOS EM REGIME FINANCEIRO DE CAPITALIZAÇÃO   -   GERAÇÃO ATUAL</t>
  </si>
  <si>
    <t>(F) RENTABILIDADE
 (dos Ativos que compõem os Recursos Garantidores)</t>
  </si>
  <si>
    <r>
      <t>(G) EVOLUÇÃO DOS RECURSOS GARANTIDORES
 (I</t>
    </r>
    <r>
      <rPr>
        <b/>
        <sz val="11"/>
        <rFont val="Arial Narrow"/>
        <family val="2"/>
        <charset val="1"/>
      </rPr>
      <t>nformar o valor acumulado na data da avaliação)</t>
    </r>
  </si>
  <si>
    <t>Prefeitura do Município de Campinas -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</si>
</sst>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_-* #,##0.00_-;\-* #,##0.00_-;_-* \-??_-;_-@_-"/>
    <numFmt numFmtId="166" formatCode="#,##0.00###"/>
    <numFmt numFmtId="167" formatCode="#,##0.00_ ;[Red]\-#,##0.00\ "/>
    <numFmt numFmtId="168" formatCode="_(* #,##0.00_);_(* \(#,##0.00\);_(* &quot;-&quot;??_);_(@_)"/>
    <numFmt numFmtId="169" formatCode="0.0%"/>
  </numFmts>
  <fonts count="34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20"/>
      <name val="Arial Narrow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FF"/>
      <name val="Arial Narrow"/>
      <family val="2"/>
      <charset val="1"/>
    </font>
    <font>
      <sz val="10"/>
      <name val="Mangal"/>
      <family val="2"/>
      <charset val="1"/>
    </font>
    <font>
      <b/>
      <sz val="12"/>
      <color rgb="FFFFFFFF"/>
      <name val="Arial Narrow"/>
      <family val="2"/>
      <charset val="1"/>
    </font>
    <font>
      <b/>
      <sz val="12"/>
      <color rgb="FF0000CC"/>
      <name val="Arial Narrow"/>
      <family val="2"/>
      <charset val="1"/>
    </font>
    <font>
      <sz val="12"/>
      <color rgb="FF0000FF"/>
      <name val="Arial Narrow"/>
      <family val="2"/>
      <charset val="1"/>
    </font>
    <font>
      <sz val="12"/>
      <name val="Arial Narrow"/>
      <family val="2"/>
      <charset val="1"/>
    </font>
    <font>
      <b/>
      <sz val="10"/>
      <color rgb="FFFFFFFF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6"/>
      <name val="Arial Narrow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 Narrow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BFBFBF"/>
        <bgColor rgb="FFD6DCE5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D6DCE5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8">
    <xf numFmtId="0" fontId="0" fillId="0" borderId="0"/>
    <xf numFmtId="165" fontId="10" fillId="0" borderId="0" applyBorder="0" applyProtection="0"/>
    <xf numFmtId="9" fontId="10" fillId="0" borderId="0" applyBorder="0" applyProtection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37">
    <xf numFmtId="0" fontId="0" fillId="0" borderId="0" xfId="0"/>
    <xf numFmtId="0" fontId="3" fillId="3" borderId="3" xfId="2" applyNumberFormat="1" applyFont="1" applyFill="1" applyBorder="1" applyAlignment="1" applyProtection="1"/>
    <xf numFmtId="0" fontId="5" fillId="3" borderId="4" xfId="2" applyNumberFormat="1" applyFont="1" applyFill="1" applyBorder="1" applyAlignment="1" applyProtection="1"/>
    <xf numFmtId="164" fontId="5" fillId="3" borderId="4" xfId="2" applyNumberFormat="1" applyFont="1" applyFill="1" applyBorder="1" applyAlignment="1" applyProtection="1"/>
    <xf numFmtId="0" fontId="5" fillId="3" borderId="5" xfId="2" applyNumberFormat="1" applyFont="1" applyFill="1" applyBorder="1" applyAlignment="1" applyProtection="1"/>
    <xf numFmtId="0" fontId="6" fillId="3" borderId="3" xfId="2" applyNumberFormat="1" applyFont="1" applyFill="1" applyBorder="1" applyAlignment="1" applyProtection="1"/>
    <xf numFmtId="0" fontId="6" fillId="3" borderId="4" xfId="2" applyNumberFormat="1" applyFont="1" applyFill="1" applyBorder="1" applyAlignment="1" applyProtection="1"/>
    <xf numFmtId="0" fontId="7" fillId="3" borderId="4" xfId="2" applyNumberFormat="1" applyFont="1" applyFill="1" applyBorder="1" applyAlignment="1" applyProtection="1"/>
    <xf numFmtId="0" fontId="7" fillId="3" borderId="5" xfId="2" applyNumberFormat="1" applyFont="1" applyFill="1" applyBorder="1" applyAlignment="1" applyProtection="1"/>
    <xf numFmtId="0" fontId="3" fillId="3" borderId="5" xfId="2" applyNumberFormat="1" applyFont="1" applyFill="1" applyBorder="1" applyAlignment="1" applyProtection="1">
      <alignment horizontal="center"/>
    </xf>
    <xf numFmtId="0" fontId="3" fillId="3" borderId="4" xfId="2" applyNumberFormat="1" applyFont="1" applyFill="1" applyBorder="1" applyAlignment="1" applyProtection="1"/>
    <xf numFmtId="0" fontId="3" fillId="3" borderId="5" xfId="2" applyNumberFormat="1" applyFont="1" applyFill="1" applyBorder="1" applyAlignment="1" applyProtection="1"/>
    <xf numFmtId="0" fontId="3" fillId="3" borderId="6" xfId="2" applyNumberFormat="1" applyFont="1" applyFill="1" applyBorder="1" applyAlignment="1" applyProtection="1">
      <alignment horizontal="center"/>
    </xf>
    <xf numFmtId="0" fontId="1" fillId="3" borderId="4" xfId="2" applyNumberFormat="1" applyFont="1" applyFill="1" applyBorder="1" applyAlignment="1" applyProtection="1"/>
    <xf numFmtId="0" fontId="8" fillId="3" borderId="4" xfId="2" applyNumberFormat="1" applyFont="1" applyFill="1" applyBorder="1" applyAlignment="1" applyProtection="1"/>
    <xf numFmtId="0" fontId="1" fillId="3" borderId="5" xfId="2" applyNumberFormat="1" applyFont="1" applyFill="1" applyBorder="1" applyAlignment="1" applyProtection="1"/>
    <xf numFmtId="1" fontId="9" fillId="0" borderId="7" xfId="2" applyNumberFormat="1" applyFont="1" applyBorder="1" applyAlignment="1" applyProtection="1">
      <alignment horizontal="center" vertical="center"/>
    </xf>
    <xf numFmtId="1" fontId="9" fillId="0" borderId="8" xfId="2" applyNumberFormat="1" applyFont="1" applyBorder="1" applyAlignment="1" applyProtection="1">
      <alignment horizontal="center" vertical="center"/>
    </xf>
    <xf numFmtId="1" fontId="9" fillId="4" borderId="8" xfId="2" applyNumberFormat="1" applyFont="1" applyFill="1" applyBorder="1" applyAlignment="1" applyProtection="1">
      <alignment horizontal="center" vertical="center"/>
    </xf>
    <xf numFmtId="1" fontId="2" fillId="4" borderId="8" xfId="2" applyNumberFormat="1" applyFont="1" applyFill="1" applyBorder="1" applyAlignment="1" applyProtection="1">
      <alignment horizontal="center" vertical="center"/>
    </xf>
    <xf numFmtId="1" fontId="3" fillId="0" borderId="8" xfId="2" applyNumberFormat="1" applyFont="1" applyBorder="1" applyAlignment="1" applyProtection="1">
      <alignment horizontal="center" vertical="center"/>
    </xf>
    <xf numFmtId="1" fontId="2" fillId="0" borderId="8" xfId="2" applyNumberFormat="1" applyFont="1" applyBorder="1" applyAlignment="1" applyProtection="1">
      <alignment horizontal="center" vertical="center"/>
    </xf>
    <xf numFmtId="10" fontId="9" fillId="0" borderId="7" xfId="2" applyNumberFormat="1" applyFont="1" applyBorder="1" applyAlignment="1" applyProtection="1">
      <alignment horizontal="center" vertical="center" wrapText="1"/>
    </xf>
    <xf numFmtId="164" fontId="3" fillId="0" borderId="8" xfId="2" applyNumberFormat="1" applyFont="1" applyBorder="1" applyAlignment="1" applyProtection="1">
      <alignment horizontal="center" vertical="center" wrapText="1"/>
    </xf>
    <xf numFmtId="2" fontId="9" fillId="0" borderId="8" xfId="2" applyNumberFormat="1" applyFont="1" applyBorder="1" applyAlignment="1" applyProtection="1">
      <alignment horizontal="center" vertical="center" wrapText="1"/>
    </xf>
    <xf numFmtId="10" fontId="9" fillId="0" borderId="8" xfId="2" applyNumberFormat="1" applyFont="1" applyBorder="1" applyAlignment="1" applyProtection="1">
      <alignment horizontal="center" vertical="center" wrapText="1"/>
    </xf>
    <xf numFmtId="10" fontId="3" fillId="0" borderId="8" xfId="2" applyNumberFormat="1" applyFont="1" applyBorder="1" applyAlignment="1" applyProtection="1">
      <alignment horizontal="center" vertical="center" wrapText="1"/>
    </xf>
    <xf numFmtId="10" fontId="3" fillId="4" borderId="8" xfId="2" applyNumberFormat="1" applyFont="1" applyFill="1" applyBorder="1" applyAlignment="1" applyProtection="1">
      <alignment horizontal="center" vertical="center" wrapText="1"/>
    </xf>
    <xf numFmtId="166" fontId="12" fillId="6" borderId="9" xfId="2" applyNumberFormat="1" applyFont="1" applyFill="1" applyBorder="1" applyAlignment="1" applyProtection="1">
      <alignment horizontal="center"/>
      <protection locked="0"/>
    </xf>
    <xf numFmtId="166" fontId="13" fillId="6" borderId="8" xfId="2" applyNumberFormat="1" applyFont="1" applyFill="1" applyBorder="1" applyAlignment="1" applyProtection="1">
      <alignment horizontal="center"/>
      <protection locked="0"/>
    </xf>
    <xf numFmtId="166" fontId="14" fillId="4" borderId="8" xfId="2" applyNumberFormat="1" applyFont="1" applyFill="1" applyBorder="1" applyAlignment="1" applyProtection="1">
      <alignment horizontal="center"/>
    </xf>
    <xf numFmtId="167" fontId="11" fillId="5" borderId="16" xfId="1" applyNumberFormat="1" applyFont="1" applyFill="1" applyBorder="1" applyAlignment="1" applyProtection="1">
      <alignment horizontal="center"/>
    </xf>
    <xf numFmtId="0" fontId="9" fillId="0" borderId="8" xfId="2" applyNumberFormat="1" applyFont="1" applyBorder="1" applyAlignment="1" applyProtection="1">
      <alignment horizontal="center" vertical="center"/>
    </xf>
    <xf numFmtId="0" fontId="9" fillId="0" borderId="8" xfId="2" applyNumberFormat="1" applyFont="1" applyBorder="1" applyAlignment="1" applyProtection="1">
      <alignment horizontal="center" vertical="center" wrapText="1"/>
    </xf>
    <xf numFmtId="0" fontId="13" fillId="6" borderId="8" xfId="2" applyNumberFormat="1" applyFont="1" applyFill="1" applyBorder="1" applyAlignment="1" applyProtection="1">
      <alignment horizontal="center"/>
      <protection locked="0"/>
    </xf>
    <xf numFmtId="0" fontId="4" fillId="8" borderId="0" xfId="2" applyNumberFormat="1" applyFont="1" applyFill="1" applyAlignment="1" applyProtection="1">
      <alignment horizontal="left"/>
    </xf>
    <xf numFmtId="0" fontId="3" fillId="8" borderId="0" xfId="2" applyNumberFormat="1" applyFont="1" applyFill="1" applyProtection="1"/>
    <xf numFmtId="164" fontId="3" fillId="8" borderId="0" xfId="2" applyNumberFormat="1" applyFont="1" applyFill="1" applyAlignment="1" applyProtection="1">
      <alignment horizontal="center"/>
    </xf>
    <xf numFmtId="0" fontId="3" fillId="7" borderId="0" xfId="2" applyNumberFormat="1" applyFont="1" applyFill="1" applyProtection="1"/>
    <xf numFmtId="0" fontId="17" fillId="9" borderId="22" xfId="2" applyNumberFormat="1" applyFont="1" applyFill="1" applyBorder="1" applyProtection="1"/>
    <xf numFmtId="0" fontId="11" fillId="5" borderId="8" xfId="2" applyNumberFormat="1" applyFont="1" applyFill="1" applyBorder="1" applyAlignment="1" applyProtection="1">
      <alignment horizontal="center"/>
    </xf>
    <xf numFmtId="166" fontId="14" fillId="0" borderId="8" xfId="2" applyNumberFormat="1" applyFont="1" applyBorder="1" applyAlignment="1" applyProtection="1">
      <alignment horizontal="center"/>
    </xf>
    <xf numFmtId="4" fontId="3" fillId="0" borderId="13" xfId="2" applyNumberFormat="1" applyFont="1" applyBorder="1" applyAlignment="1" applyProtection="1">
      <alignment horizontal="center"/>
    </xf>
    <xf numFmtId="4" fontId="3" fillId="0" borderId="16" xfId="2" applyNumberFormat="1" applyFont="1" applyBorder="1" applyAlignment="1" applyProtection="1">
      <alignment horizontal="center"/>
    </xf>
    <xf numFmtId="0" fontId="2" fillId="0" borderId="0" xfId="2" applyNumberFormat="1" applyFont="1" applyBorder="1" applyProtection="1"/>
    <xf numFmtId="0" fontId="21" fillId="7" borderId="0" xfId="4" applyFont="1" applyFill="1" applyBorder="1" applyAlignment="1">
      <alignment horizontal="center" vertical="center" wrapText="1"/>
    </xf>
    <xf numFmtId="0" fontId="23" fillId="7" borderId="0" xfId="4" applyFont="1" applyFill="1" applyBorder="1" applyAlignment="1">
      <alignment horizontal="center" vertical="center" wrapText="1"/>
    </xf>
    <xf numFmtId="0" fontId="18" fillId="7" borderId="0" xfId="4" applyFont="1" applyFill="1" applyBorder="1" applyAlignment="1">
      <alignment horizontal="center" vertical="center" wrapText="1"/>
    </xf>
    <xf numFmtId="0" fontId="23" fillId="7" borderId="0" xfId="4" applyFont="1" applyFill="1" applyBorder="1" applyAlignment="1">
      <alignment horizontal="center" vertical="center" textRotation="90" wrapText="1"/>
    </xf>
    <xf numFmtId="0" fontId="21" fillId="7" borderId="7" xfId="6" applyNumberFormat="1" applyFont="1" applyFill="1" applyBorder="1" applyAlignment="1">
      <alignment horizontal="center" vertical="center" wrapText="1"/>
    </xf>
    <xf numFmtId="10" fontId="24" fillId="7" borderId="9" xfId="5" applyNumberFormat="1" applyFont="1" applyFill="1" applyBorder="1" applyAlignment="1">
      <alignment horizontal="center" vertical="center" wrapText="1"/>
    </xf>
    <xf numFmtId="0" fontId="21" fillId="7" borderId="0" xfId="4" applyFont="1" applyFill="1" applyAlignment="1">
      <alignment horizontal="center" vertical="center" wrapText="1"/>
    </xf>
    <xf numFmtId="0" fontId="25" fillId="7" borderId="0" xfId="4" applyFont="1" applyFill="1" applyBorder="1" applyAlignment="1">
      <alignment horizontal="center" vertical="center" wrapText="1"/>
    </xf>
    <xf numFmtId="0" fontId="26" fillId="7" borderId="0" xfId="4" applyFont="1" applyFill="1"/>
    <xf numFmtId="0" fontId="27" fillId="7" borderId="0" xfId="4" applyFont="1" applyFill="1" applyAlignment="1"/>
    <xf numFmtId="0" fontId="26" fillId="7" borderId="0" xfId="4" applyFont="1" applyFill="1" applyBorder="1" applyAlignment="1">
      <alignment horizontal="center" vertical="center" wrapText="1"/>
    </xf>
    <xf numFmtId="0" fontId="26" fillId="7" borderId="0" xfId="4" applyFont="1" applyFill="1" applyBorder="1"/>
    <xf numFmtId="0" fontId="27" fillId="7" borderId="0" xfId="4" applyFont="1" applyFill="1" applyBorder="1" applyAlignment="1">
      <alignment horizontal="center" vertical="center" wrapText="1"/>
    </xf>
    <xf numFmtId="0" fontId="26" fillId="7" borderId="34" xfId="4" applyFont="1" applyFill="1" applyBorder="1" applyAlignment="1">
      <alignment horizontal="center" vertical="center" wrapText="1"/>
    </xf>
    <xf numFmtId="0" fontId="26" fillId="7" borderId="35" xfId="4" applyFont="1" applyFill="1" applyBorder="1" applyAlignment="1">
      <alignment horizontal="center" vertical="center" wrapText="1"/>
    </xf>
    <xf numFmtId="0" fontId="26" fillId="7" borderId="36" xfId="4" applyFont="1" applyFill="1" applyBorder="1" applyAlignment="1">
      <alignment horizontal="center" vertical="center" wrapText="1"/>
    </xf>
    <xf numFmtId="0" fontId="26" fillId="7" borderId="38" xfId="4" applyFont="1" applyFill="1" applyBorder="1" applyAlignment="1">
      <alignment horizontal="center" vertical="center" wrapText="1"/>
    </xf>
    <xf numFmtId="0" fontId="26" fillId="7" borderId="20" xfId="4" applyFont="1" applyFill="1" applyBorder="1" applyAlignment="1">
      <alignment horizontal="center" vertical="center" wrapText="1"/>
    </xf>
    <xf numFmtId="0" fontId="26" fillId="7" borderId="21" xfId="4" applyFont="1" applyFill="1" applyBorder="1" applyAlignment="1">
      <alignment horizontal="center" vertical="center" wrapText="1"/>
    </xf>
    <xf numFmtId="0" fontId="27" fillId="7" borderId="0" xfId="4" applyFont="1" applyFill="1" applyBorder="1" applyAlignment="1">
      <alignment horizontal="center" vertical="center" textRotation="90" wrapText="1"/>
    </xf>
    <xf numFmtId="0" fontId="26" fillId="7" borderId="7" xfId="6" applyNumberFormat="1" applyFont="1" applyFill="1" applyBorder="1" applyAlignment="1">
      <alignment horizontal="center" vertical="center" wrapText="1"/>
    </xf>
    <xf numFmtId="168" fontId="26" fillId="7" borderId="8" xfId="6" applyFont="1" applyFill="1" applyBorder="1" applyAlignment="1">
      <alignment horizontal="center" vertical="center" wrapText="1"/>
    </xf>
    <xf numFmtId="0" fontId="26" fillId="7" borderId="41" xfId="6" applyNumberFormat="1" applyFont="1" applyFill="1" applyBorder="1" applyAlignment="1">
      <alignment horizontal="center" vertical="center" wrapText="1"/>
    </xf>
    <xf numFmtId="0" fontId="26" fillId="7" borderId="0" xfId="4" applyFont="1" applyFill="1" applyAlignment="1">
      <alignment horizontal="center" vertical="center" wrapText="1"/>
    </xf>
    <xf numFmtId="0" fontId="28" fillId="7" borderId="0" xfId="4" applyFont="1" applyFill="1" applyBorder="1" applyAlignment="1">
      <alignment horizontal="center" vertical="center" wrapText="1"/>
    </xf>
    <xf numFmtId="0" fontId="30" fillId="7" borderId="0" xfId="4" applyFont="1" applyFill="1" applyAlignment="1"/>
    <xf numFmtId="0" fontId="27" fillId="7" borderId="0" xfId="4" applyFont="1" applyFill="1" applyAlignment="1">
      <alignment horizontal="center" vertical="center" wrapText="1"/>
    </xf>
    <xf numFmtId="0" fontId="27" fillId="7" borderId="18" xfId="4" applyFont="1" applyFill="1" applyBorder="1" applyAlignment="1">
      <alignment horizontal="center" vertical="center" wrapText="1"/>
    </xf>
    <xf numFmtId="0" fontId="26" fillId="7" borderId="23" xfId="4" applyFont="1" applyFill="1" applyBorder="1" applyAlignment="1">
      <alignment horizontal="center" vertical="center" wrapText="1"/>
    </xf>
    <xf numFmtId="0" fontId="30" fillId="7" borderId="0" xfId="4" applyFont="1" applyFill="1" applyAlignment="1">
      <alignment horizontal="left" vertical="center"/>
    </xf>
    <xf numFmtId="10" fontId="26" fillId="7" borderId="0" xfId="5" applyNumberFormat="1" applyFont="1" applyFill="1" applyBorder="1" applyAlignment="1">
      <alignment horizontal="center" vertical="center" wrapText="1"/>
    </xf>
    <xf numFmtId="4" fontId="26" fillId="11" borderId="8" xfId="4" applyNumberFormat="1" applyFont="1" applyFill="1" applyBorder="1" applyAlignment="1">
      <alignment horizontal="center" vertical="center" wrapText="1"/>
    </xf>
    <xf numFmtId="4" fontId="26" fillId="11" borderId="9" xfId="4" applyNumberFormat="1" applyFont="1" applyFill="1" applyBorder="1" applyAlignment="1">
      <alignment horizontal="center" vertical="center" wrapText="1"/>
    </xf>
    <xf numFmtId="4" fontId="26" fillId="11" borderId="22" xfId="4" applyNumberFormat="1" applyFont="1" applyFill="1" applyBorder="1" applyAlignment="1">
      <alignment horizontal="center" vertical="center" wrapText="1"/>
    </xf>
    <xf numFmtId="168" fontId="26" fillId="11" borderId="8" xfId="6" applyFont="1" applyFill="1" applyBorder="1" applyAlignment="1">
      <alignment horizontal="center" vertical="center" wrapText="1"/>
    </xf>
    <xf numFmtId="10" fontId="26" fillId="11" borderId="8" xfId="5" applyNumberFormat="1" applyFont="1" applyFill="1" applyBorder="1" applyAlignment="1">
      <alignment horizontal="center" vertical="center" wrapText="1"/>
    </xf>
    <xf numFmtId="0" fontId="27" fillId="7" borderId="42" xfId="6" applyNumberFormat="1" applyFont="1" applyFill="1" applyBorder="1" applyAlignment="1">
      <alignment horizontal="center" vertical="center" wrapText="1"/>
    </xf>
    <xf numFmtId="0" fontId="27" fillId="7" borderId="43" xfId="4" applyFont="1" applyFill="1" applyBorder="1" applyAlignment="1">
      <alignment horizontal="center" vertical="center" wrapText="1"/>
    </xf>
    <xf numFmtId="0" fontId="27" fillId="7" borderId="44" xfId="4" applyFont="1" applyFill="1" applyBorder="1" applyAlignment="1">
      <alignment horizontal="center" vertical="center" wrapText="1"/>
    </xf>
    <xf numFmtId="0" fontId="27" fillId="7" borderId="45" xfId="4" applyFont="1" applyFill="1" applyBorder="1" applyAlignment="1">
      <alignment horizontal="center" vertical="center" wrapText="1"/>
    </xf>
    <xf numFmtId="10" fontId="26" fillId="7" borderId="9" xfId="5" applyNumberFormat="1" applyFont="1" applyFill="1" applyBorder="1" applyAlignment="1">
      <alignment horizontal="center" vertical="center" wrapText="1"/>
    </xf>
    <xf numFmtId="168" fontId="26" fillId="7" borderId="40" xfId="6" applyFont="1" applyFill="1" applyBorder="1" applyAlignment="1">
      <alignment horizontal="center" vertical="center" wrapText="1"/>
    </xf>
    <xf numFmtId="0" fontId="27" fillId="7" borderId="19" xfId="4" applyFont="1" applyFill="1" applyBorder="1" applyAlignment="1">
      <alignment horizontal="center" vertical="center" wrapText="1"/>
    </xf>
    <xf numFmtId="0" fontId="27" fillId="7" borderId="20" xfId="4" applyFont="1" applyFill="1" applyBorder="1" applyAlignment="1">
      <alignment horizontal="center" vertical="center" wrapText="1"/>
    </xf>
    <xf numFmtId="168" fontId="27" fillId="7" borderId="20" xfId="6" applyFont="1" applyFill="1" applyBorder="1" applyAlignment="1">
      <alignment horizontal="center" vertical="center" wrapText="1"/>
    </xf>
    <xf numFmtId="168" fontId="27" fillId="7" borderId="21" xfId="6" applyFont="1" applyFill="1" applyBorder="1" applyAlignment="1">
      <alignment horizontal="center" vertical="center" wrapText="1"/>
    </xf>
    <xf numFmtId="10" fontId="26" fillId="11" borderId="7" xfId="5" applyNumberFormat="1" applyFont="1" applyFill="1" applyBorder="1" applyAlignment="1">
      <alignment horizontal="center" vertical="center" wrapText="1"/>
    </xf>
    <xf numFmtId="10" fontId="26" fillId="11" borderId="9" xfId="5" applyNumberFormat="1" applyFont="1" applyFill="1" applyBorder="1" applyAlignment="1">
      <alignment horizontal="center" vertical="center" wrapText="1"/>
    </xf>
    <xf numFmtId="10" fontId="26" fillId="11" borderId="41" xfId="5" applyNumberFormat="1" applyFont="1" applyFill="1" applyBorder="1" applyAlignment="1">
      <alignment horizontal="center" vertical="center" wrapText="1"/>
    </xf>
    <xf numFmtId="168" fontId="26" fillId="11" borderId="40" xfId="6" applyFont="1" applyFill="1" applyBorder="1" applyAlignment="1">
      <alignment horizontal="center" vertical="center" wrapText="1"/>
    </xf>
    <xf numFmtId="10" fontId="26" fillId="11" borderId="40" xfId="5" applyNumberFormat="1" applyFont="1" applyFill="1" applyBorder="1" applyAlignment="1">
      <alignment horizontal="center" vertical="center" wrapText="1"/>
    </xf>
    <xf numFmtId="10" fontId="26" fillId="11" borderId="22" xfId="5" applyNumberFormat="1" applyFont="1" applyFill="1" applyBorder="1" applyAlignment="1">
      <alignment horizontal="center" vertical="center" wrapText="1"/>
    </xf>
    <xf numFmtId="0" fontId="24" fillId="0" borderId="0" xfId="3" applyFont="1"/>
    <xf numFmtId="0" fontId="26" fillId="0" borderId="0" xfId="3" applyNumberFormat="1" applyFont="1" applyFill="1" applyBorder="1" applyAlignment="1"/>
    <xf numFmtId="40" fontId="26" fillId="0" borderId="11" xfId="3" applyNumberFormat="1" applyFont="1" applyFill="1" applyBorder="1" applyAlignment="1"/>
    <xf numFmtId="0" fontId="24" fillId="0" borderId="0" xfId="3" applyFont="1" applyBorder="1"/>
    <xf numFmtId="0" fontId="26" fillId="0" borderId="30" xfId="3" applyNumberFormat="1" applyFont="1" applyFill="1" applyBorder="1" applyAlignment="1">
      <alignment horizontal="left"/>
    </xf>
    <xf numFmtId="0" fontId="26" fillId="0" borderId="31" xfId="3" applyNumberFormat="1" applyFont="1" applyFill="1" applyBorder="1" applyAlignment="1"/>
    <xf numFmtId="40" fontId="26" fillId="0" borderId="8" xfId="3" applyNumberFormat="1" applyFont="1" applyFill="1" applyBorder="1" applyAlignment="1"/>
    <xf numFmtId="0" fontId="26" fillId="0" borderId="31" xfId="3" applyNumberFormat="1" applyFont="1" applyFill="1" applyBorder="1" applyAlignment="1">
      <alignment horizontal="left"/>
    </xf>
    <xf numFmtId="0" fontId="26" fillId="0" borderId="31" xfId="3" applyNumberFormat="1" applyFont="1" applyFill="1" applyBorder="1" applyAlignment="1">
      <alignment horizontal="left" indent="1"/>
    </xf>
    <xf numFmtId="0" fontId="26" fillId="0" borderId="32" xfId="3" applyNumberFormat="1" applyFont="1" applyFill="1" applyBorder="1" applyAlignment="1">
      <alignment horizontal="left" indent="1"/>
    </xf>
    <xf numFmtId="0" fontId="26" fillId="0" borderId="32" xfId="3" applyNumberFormat="1" applyFont="1" applyFill="1" applyBorder="1" applyAlignment="1"/>
    <xf numFmtId="40" fontId="26" fillId="0" borderId="33" xfId="3" applyNumberFormat="1" applyFont="1" applyFill="1" applyBorder="1" applyAlignment="1"/>
    <xf numFmtId="0" fontId="26" fillId="10" borderId="31" xfId="3" applyNumberFormat="1" applyFont="1" applyFill="1" applyBorder="1" applyAlignment="1"/>
    <xf numFmtId="10" fontId="26" fillId="7" borderId="0" xfId="5" applyNumberFormat="1" applyFont="1" applyFill="1"/>
    <xf numFmtId="0" fontId="27" fillId="7" borderId="0" xfId="4" applyFont="1" applyFill="1"/>
    <xf numFmtId="10" fontId="27" fillId="7" borderId="0" xfId="5" applyNumberFormat="1" applyFont="1" applyFill="1"/>
    <xf numFmtId="0" fontId="27" fillId="7" borderId="19" xfId="6" applyNumberFormat="1" applyFont="1" applyFill="1" applyBorder="1" applyAlignment="1">
      <alignment horizontal="center" vertical="center" wrapText="1"/>
    </xf>
    <xf numFmtId="0" fontId="27" fillId="7" borderId="20" xfId="6" applyNumberFormat="1" applyFont="1" applyFill="1" applyBorder="1" applyAlignment="1">
      <alignment horizontal="center" vertical="center" wrapText="1"/>
    </xf>
    <xf numFmtId="0" fontId="27" fillId="7" borderId="20" xfId="4" applyFont="1" applyFill="1" applyBorder="1" applyAlignment="1">
      <alignment vertical="center" wrapText="1"/>
    </xf>
    <xf numFmtId="10" fontId="27" fillId="7" borderId="20" xfId="4" applyNumberFormat="1" applyFont="1" applyFill="1" applyBorder="1" applyAlignment="1">
      <alignment horizontal="center" vertical="center" wrapText="1"/>
    </xf>
    <xf numFmtId="0" fontId="27" fillId="7" borderId="21" xfId="4" applyFont="1" applyFill="1" applyBorder="1" applyAlignment="1">
      <alignment horizontal="center" vertical="center" wrapText="1"/>
    </xf>
    <xf numFmtId="10" fontId="27" fillId="7" borderId="0" xfId="5" applyNumberFormat="1" applyFont="1" applyFill="1" applyBorder="1" applyAlignment="1">
      <alignment horizontal="center" vertical="center" textRotation="90" wrapText="1"/>
    </xf>
    <xf numFmtId="0" fontId="26" fillId="11" borderId="7" xfId="6" applyNumberFormat="1" applyFont="1" applyFill="1" applyBorder="1" applyAlignment="1">
      <alignment horizontal="center" vertical="center" wrapText="1"/>
    </xf>
    <xf numFmtId="0" fontId="26" fillId="11" borderId="8" xfId="6" applyNumberFormat="1" applyFont="1" applyFill="1" applyBorder="1" applyAlignment="1">
      <alignment horizontal="center" vertical="center" wrapText="1"/>
    </xf>
    <xf numFmtId="0" fontId="26" fillId="11" borderId="41" xfId="6" applyNumberFormat="1" applyFont="1" applyFill="1" applyBorder="1" applyAlignment="1">
      <alignment horizontal="center" vertical="center" wrapText="1"/>
    </xf>
    <xf numFmtId="0" fontId="26" fillId="11" borderId="40" xfId="6" applyNumberFormat="1" applyFont="1" applyFill="1" applyBorder="1" applyAlignment="1">
      <alignment horizontal="center" vertical="center" wrapText="1"/>
    </xf>
    <xf numFmtId="168" fontId="26" fillId="11" borderId="8" xfId="4" applyNumberFormat="1" applyFont="1" applyFill="1" applyBorder="1" applyAlignment="1">
      <alignment horizontal="center" vertical="center" wrapText="1"/>
    </xf>
    <xf numFmtId="168" fontId="26" fillId="11" borderId="9" xfId="4" applyNumberFormat="1" applyFont="1" applyFill="1" applyBorder="1" applyAlignment="1">
      <alignment horizontal="center" vertical="center" wrapText="1"/>
    </xf>
    <xf numFmtId="0" fontId="24" fillId="7" borderId="8" xfId="6" applyNumberFormat="1" applyFont="1" applyFill="1" applyBorder="1" applyAlignment="1">
      <alignment horizontal="center" vertical="center" wrapText="1"/>
    </xf>
    <xf numFmtId="10" fontId="24" fillId="7" borderId="8" xfId="5" applyNumberFormat="1" applyFont="1" applyFill="1" applyBorder="1" applyAlignment="1">
      <alignment horizontal="center" vertical="center" wrapText="1"/>
    </xf>
    <xf numFmtId="0" fontId="21" fillId="7" borderId="41" xfId="6" applyNumberFormat="1" applyFont="1" applyFill="1" applyBorder="1" applyAlignment="1">
      <alignment horizontal="center" vertical="center" wrapText="1"/>
    </xf>
    <xf numFmtId="0" fontId="24" fillId="7" borderId="40" xfId="6" applyNumberFormat="1" applyFont="1" applyFill="1" applyBorder="1" applyAlignment="1">
      <alignment horizontal="center" vertical="center" wrapText="1"/>
    </xf>
    <xf numFmtId="10" fontId="24" fillId="7" borderId="40" xfId="5" applyNumberFormat="1" applyFont="1" applyFill="1" applyBorder="1" applyAlignment="1">
      <alignment horizontal="center" vertical="center" wrapText="1"/>
    </xf>
    <xf numFmtId="10" fontId="24" fillId="7" borderId="22" xfId="5" applyNumberFormat="1" applyFont="1" applyFill="1" applyBorder="1" applyAlignment="1">
      <alignment horizontal="center" vertical="center" wrapText="1"/>
    </xf>
    <xf numFmtId="0" fontId="21" fillId="7" borderId="46" xfId="6" applyNumberFormat="1" applyFont="1" applyFill="1" applyBorder="1" applyAlignment="1">
      <alignment horizontal="center" vertical="center" wrapText="1"/>
    </xf>
    <xf numFmtId="0" fontId="24" fillId="7" borderId="33" xfId="6" applyNumberFormat="1" applyFont="1" applyFill="1" applyBorder="1" applyAlignment="1">
      <alignment horizontal="center" vertical="center" wrapText="1"/>
    </xf>
    <xf numFmtId="10" fontId="24" fillId="7" borderId="33" xfId="5" applyNumberFormat="1" applyFont="1" applyFill="1" applyBorder="1" applyAlignment="1">
      <alignment horizontal="center" vertical="center" wrapText="1"/>
    </xf>
    <xf numFmtId="10" fontId="24" fillId="7" borderId="47" xfId="5" applyNumberFormat="1" applyFont="1" applyFill="1" applyBorder="1" applyAlignment="1">
      <alignment horizontal="center" vertical="center" wrapText="1"/>
    </xf>
    <xf numFmtId="0" fontId="20" fillId="7" borderId="0" xfId="4" applyFont="1" applyFill="1" applyAlignment="1">
      <alignment horizontal="center"/>
    </xf>
    <xf numFmtId="0" fontId="19" fillId="7" borderId="0" xfId="4" applyFill="1" applyAlignment="1">
      <alignment horizontal="center"/>
    </xf>
    <xf numFmtId="0" fontId="22" fillId="7" borderId="0" xfId="4" applyFont="1" applyFill="1" applyAlignment="1">
      <alignment horizontal="center"/>
    </xf>
    <xf numFmtId="0" fontId="18" fillId="7" borderId="34" xfId="4" applyFont="1" applyFill="1" applyBorder="1" applyAlignment="1">
      <alignment horizontal="center"/>
    </xf>
    <xf numFmtId="0" fontId="18" fillId="7" borderId="0" xfId="4" applyFont="1" applyFill="1" applyBorder="1" applyAlignment="1">
      <alignment horizontal="center"/>
    </xf>
    <xf numFmtId="0" fontId="19" fillId="7" borderId="0" xfId="4" applyFill="1" applyBorder="1" applyAlignment="1">
      <alignment horizontal="center"/>
    </xf>
    <xf numFmtId="0" fontId="23" fillId="7" borderId="12" xfId="6" applyNumberFormat="1" applyFont="1" applyFill="1" applyBorder="1" applyAlignment="1">
      <alignment horizontal="center" vertical="center" wrapText="1"/>
    </xf>
    <xf numFmtId="0" fontId="23" fillId="7" borderId="13" xfId="6" applyNumberFormat="1" applyFont="1" applyFill="1" applyBorder="1" applyAlignment="1">
      <alignment horizontal="center" vertical="center" wrapText="1"/>
    </xf>
    <xf numFmtId="10" fontId="23" fillId="7" borderId="13" xfId="4" applyNumberFormat="1" applyFont="1" applyFill="1" applyBorder="1" applyAlignment="1">
      <alignment horizontal="center" vertical="center" wrapText="1"/>
    </xf>
    <xf numFmtId="0" fontId="23" fillId="7" borderId="13" xfId="4" applyFont="1" applyFill="1" applyBorder="1" applyAlignment="1">
      <alignment horizontal="center" vertical="center" wrapText="1"/>
    </xf>
    <xf numFmtId="0" fontId="23" fillId="7" borderId="14" xfId="4" applyFont="1" applyFill="1" applyBorder="1" applyAlignment="1">
      <alignment horizontal="center" vertical="center" wrapText="1"/>
    </xf>
    <xf numFmtId="0" fontId="20" fillId="7" borderId="0" xfId="4" applyFont="1" applyFill="1" applyAlignment="1">
      <alignment horizontal="left"/>
    </xf>
    <xf numFmtId="0" fontId="21" fillId="7" borderId="0" xfId="4" applyFont="1" applyFill="1" applyBorder="1" applyAlignment="1">
      <alignment horizontal="left" vertical="center" wrapText="1"/>
    </xf>
    <xf numFmtId="0" fontId="27" fillId="10" borderId="8" xfId="3" applyNumberFormat="1" applyFont="1" applyFill="1" applyBorder="1" applyAlignment="1">
      <alignment horizontal="center"/>
    </xf>
    <xf numFmtId="40" fontId="26" fillId="0" borderId="8" xfId="3" applyNumberFormat="1" applyFont="1" applyFill="1" applyBorder="1" applyAlignment="1">
      <alignment horizontal="center"/>
    </xf>
    <xf numFmtId="40" fontId="27" fillId="10" borderId="8" xfId="3" applyNumberFormat="1" applyFont="1" applyFill="1" applyBorder="1" applyAlignment="1">
      <alignment horizontal="center"/>
    </xf>
    <xf numFmtId="169" fontId="26" fillId="10" borderId="8" xfId="7" applyNumberFormat="1" applyFont="1" applyFill="1" applyBorder="1" applyAlignment="1">
      <alignment horizontal="center"/>
    </xf>
    <xf numFmtId="169" fontId="26" fillId="0" borderId="8" xfId="7" applyNumberFormat="1" applyFont="1" applyFill="1" applyBorder="1" applyAlignment="1">
      <alignment horizontal="center"/>
    </xf>
    <xf numFmtId="169" fontId="26" fillId="0" borderId="8" xfId="3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7" fillId="10" borderId="11" xfId="3" applyNumberFormat="1" applyFont="1" applyFill="1" applyBorder="1" applyAlignment="1">
      <alignment horizontal="center"/>
    </xf>
    <xf numFmtId="0" fontId="27" fillId="10" borderId="33" xfId="3" applyNumberFormat="1" applyFont="1" applyFill="1" applyBorder="1" applyAlignment="1">
      <alignment horizontal="center"/>
    </xf>
    <xf numFmtId="0" fontId="18" fillId="7" borderId="49" xfId="4" applyFont="1" applyFill="1" applyBorder="1" applyAlignment="1">
      <alignment horizontal="center" vertical="center"/>
    </xf>
    <xf numFmtId="0" fontId="18" fillId="7" borderId="50" xfId="4" applyFont="1" applyFill="1" applyBorder="1" applyAlignment="1">
      <alignment horizontal="center" vertical="center"/>
    </xf>
    <xf numFmtId="0" fontId="18" fillId="7" borderId="36" xfId="4" applyFont="1" applyFill="1" applyBorder="1" applyAlignment="1">
      <alignment horizontal="left" vertical="center"/>
    </xf>
    <xf numFmtId="0" fontId="18" fillId="7" borderId="38" xfId="4" applyFont="1" applyFill="1" applyBorder="1" applyAlignment="1">
      <alignment horizontal="left" vertical="center"/>
    </xf>
    <xf numFmtId="0" fontId="26" fillId="7" borderId="7" xfId="4" applyFont="1" applyFill="1" applyBorder="1" applyAlignment="1">
      <alignment horizontal="left" vertical="center" wrapText="1"/>
    </xf>
    <xf numFmtId="0" fontId="26" fillId="7" borderId="41" xfId="4" applyFont="1" applyFill="1" applyBorder="1" applyAlignment="1">
      <alignment horizontal="left" vertical="center" wrapText="1"/>
    </xf>
    <xf numFmtId="0" fontId="4" fillId="2" borderId="0" xfId="2" applyNumberFormat="1" applyFont="1" applyFill="1" applyAlignment="1" applyProtection="1">
      <alignment horizontal="left"/>
    </xf>
    <xf numFmtId="0" fontId="3" fillId="2" borderId="0" xfId="2" applyNumberFormat="1" applyFont="1" applyFill="1" applyProtection="1"/>
    <xf numFmtId="164" fontId="3" fillId="2" borderId="0" xfId="2" applyNumberFormat="1" applyFont="1" applyFill="1" applyAlignment="1" applyProtection="1">
      <alignment horizontal="center"/>
    </xf>
    <xf numFmtId="0" fontId="3" fillId="0" borderId="0" xfId="2" applyNumberFormat="1" applyFont="1" applyProtection="1"/>
    <xf numFmtId="0" fontId="17" fillId="8" borderId="23" xfId="2" applyNumberFormat="1" applyFont="1" applyFill="1" applyBorder="1" applyAlignment="1" applyProtection="1">
      <alignment horizontal="left"/>
    </xf>
    <xf numFmtId="0" fontId="17" fillId="8" borderId="19" xfId="2" applyNumberFormat="1" applyFont="1" applyFill="1" applyBorder="1" applyAlignment="1" applyProtection="1"/>
    <xf numFmtId="0" fontId="3" fillId="7" borderId="20" xfId="2" applyNumberFormat="1" applyFont="1" applyFill="1" applyBorder="1" applyProtection="1"/>
    <xf numFmtId="9" fontId="17" fillId="8" borderId="21" xfId="2" applyNumberFormat="1" applyFont="1" applyFill="1" applyBorder="1" applyAlignment="1" applyProtection="1">
      <alignment horizontal="center"/>
      <protection locked="0"/>
    </xf>
    <xf numFmtId="0" fontId="3" fillId="8" borderId="0" xfId="2" applyNumberFormat="1" applyFont="1" applyFill="1" applyProtection="1">
      <protection locked="0"/>
    </xf>
    <xf numFmtId="0" fontId="2" fillId="0" borderId="0" xfId="2" applyNumberFormat="1" applyFont="1"/>
    <xf numFmtId="0" fontId="2" fillId="0" borderId="0" xfId="2" applyNumberFormat="1" applyFont="1" applyProtection="1"/>
    <xf numFmtId="4" fontId="3" fillId="0" borderId="9" xfId="2" applyNumberFormat="1" applyFont="1" applyBorder="1" applyAlignment="1" applyProtection="1">
      <alignment horizontal="center" vertical="center" wrapText="1"/>
    </xf>
    <xf numFmtId="0" fontId="3" fillId="0" borderId="0" xfId="2" applyNumberFormat="1" applyFont="1" applyAlignment="1" applyProtection="1">
      <alignment horizontal="center" vertical="center" wrapText="1"/>
    </xf>
    <xf numFmtId="0" fontId="11" fillId="5" borderId="7" xfId="2" applyNumberFormat="1" applyFont="1" applyFill="1" applyBorder="1"/>
    <xf numFmtId="0" fontId="11" fillId="5" borderId="8" xfId="2" applyNumberFormat="1" applyFont="1" applyFill="1" applyBorder="1"/>
    <xf numFmtId="164" fontId="11" fillId="5" borderId="8" xfId="2" applyNumberFormat="1" applyFont="1" applyFill="1" applyBorder="1" applyAlignment="1">
      <alignment horizontal="center"/>
    </xf>
    <xf numFmtId="0" fontId="11" fillId="5" borderId="8" xfId="2" applyNumberFormat="1" applyFont="1" applyFill="1" applyBorder="1" applyAlignment="1">
      <alignment horizontal="center"/>
    </xf>
    <xf numFmtId="0" fontId="9" fillId="5" borderId="8" xfId="2" applyNumberFormat="1" applyFont="1" applyFill="1" applyBorder="1" applyAlignment="1">
      <alignment horizontal="center"/>
    </xf>
    <xf numFmtId="0" fontId="3" fillId="5" borderId="8" xfId="2" applyNumberFormat="1" applyFont="1" applyFill="1" applyBorder="1" applyAlignment="1">
      <alignment horizontal="center"/>
    </xf>
    <xf numFmtId="3" fontId="13" fillId="6" borderId="7" xfId="2" applyNumberFormat="1" applyFont="1" applyFill="1" applyBorder="1" applyAlignment="1" applyProtection="1">
      <alignment horizontal="center"/>
      <protection locked="0"/>
    </xf>
    <xf numFmtId="166" fontId="14" fillId="0" borderId="8" xfId="2" applyNumberFormat="1" applyFont="1" applyBorder="1" applyAlignment="1">
      <alignment horizontal="center"/>
    </xf>
    <xf numFmtId="166" fontId="14" fillId="0" borderId="9" xfId="2" applyNumberFormat="1" applyFont="1" applyBorder="1" applyAlignment="1">
      <alignment horizontal="center"/>
    </xf>
    <xf numFmtId="3" fontId="14" fillId="0" borderId="7" xfId="2" applyNumberFormat="1" applyFont="1" applyBorder="1" applyAlignment="1" applyProtection="1">
      <alignment horizontal="center"/>
      <protection hidden="1"/>
    </xf>
    <xf numFmtId="0" fontId="14" fillId="0" borderId="8" xfId="2" applyNumberFormat="1" applyFont="1" applyBorder="1" applyAlignment="1" applyProtection="1">
      <alignment horizontal="center"/>
      <protection hidden="1"/>
    </xf>
    <xf numFmtId="3" fontId="14" fillId="0" borderId="10" xfId="2" applyNumberFormat="1" applyFont="1" applyBorder="1" applyAlignment="1" applyProtection="1">
      <alignment horizontal="center"/>
      <protection hidden="1"/>
    </xf>
    <xf numFmtId="0" fontId="14" fillId="0" borderId="11" xfId="2" applyNumberFormat="1" applyFont="1" applyBorder="1" applyAlignment="1" applyProtection="1">
      <alignment horizontal="center"/>
      <protection hidden="1"/>
    </xf>
    <xf numFmtId="166" fontId="13" fillId="6" borderId="11" xfId="2" applyNumberFormat="1" applyFont="1" applyFill="1" applyBorder="1" applyAlignment="1" applyProtection="1">
      <alignment horizontal="center"/>
      <protection locked="0"/>
    </xf>
    <xf numFmtId="1" fontId="15" fillId="5" borderId="12" xfId="2" applyNumberFormat="1" applyFont="1" applyFill="1" applyBorder="1" applyAlignment="1" applyProtection="1">
      <alignment horizontal="left"/>
      <protection hidden="1"/>
    </xf>
    <xf numFmtId="0" fontId="11" fillId="5" borderId="13" xfId="2" applyNumberFormat="1" applyFont="1" applyFill="1" applyBorder="1" applyProtection="1">
      <protection hidden="1"/>
    </xf>
    <xf numFmtId="0" fontId="16" fillId="5" borderId="13" xfId="0" applyFont="1" applyFill="1" applyBorder="1"/>
    <xf numFmtId="164" fontId="16" fillId="5" borderId="13" xfId="0" applyNumberFormat="1" applyFont="1" applyFill="1" applyBorder="1"/>
    <xf numFmtId="4" fontId="3" fillId="0" borderId="13" xfId="2" applyNumberFormat="1" applyFont="1" applyBorder="1" applyAlignment="1">
      <alignment horizontal="center"/>
    </xf>
    <xf numFmtId="167" fontId="11" fillId="5" borderId="13" xfId="1" applyNumberFormat="1" applyFont="1" applyFill="1" applyBorder="1" applyAlignment="1" applyProtection="1">
      <alignment horizontal="center"/>
    </xf>
    <xf numFmtId="0" fontId="8" fillId="5" borderId="13" xfId="0" applyFont="1" applyFill="1" applyBorder="1"/>
    <xf numFmtId="0" fontId="16" fillId="5" borderId="14" xfId="0" applyFont="1" applyFill="1" applyBorder="1"/>
    <xf numFmtId="0" fontId="3" fillId="0" borderId="0" xfId="2" applyNumberFormat="1" applyFont="1"/>
    <xf numFmtId="1" fontId="15" fillId="5" borderId="15" xfId="2" applyNumberFormat="1" applyFont="1" applyFill="1" applyBorder="1" applyAlignment="1" applyProtection="1">
      <alignment horizontal="left"/>
      <protection hidden="1"/>
    </xf>
    <xf numFmtId="0" fontId="11" fillId="5" borderId="16" xfId="2" applyNumberFormat="1" applyFont="1" applyFill="1" applyBorder="1" applyProtection="1">
      <protection hidden="1"/>
    </xf>
    <xf numFmtId="0" fontId="16" fillId="5" borderId="16" xfId="0" applyFont="1" applyFill="1" applyBorder="1"/>
    <xf numFmtId="164" fontId="16" fillId="5" borderId="16" xfId="0" applyNumberFormat="1" applyFont="1" applyFill="1" applyBorder="1"/>
    <xf numFmtId="4" fontId="3" fillId="0" borderId="16" xfId="2" applyNumberFormat="1" applyFont="1" applyBorder="1" applyAlignment="1">
      <alignment horizontal="center"/>
    </xf>
    <xf numFmtId="0" fontId="8" fillId="5" borderId="16" xfId="0" applyFont="1" applyFill="1" applyBorder="1"/>
    <xf numFmtId="0" fontId="16" fillId="5" borderId="17" xfId="0" applyFont="1" applyFill="1" applyBorder="1"/>
    <xf numFmtId="0" fontId="2" fillId="0" borderId="1" xfId="2" applyNumberFormat="1" applyFont="1" applyBorder="1"/>
    <xf numFmtId="0" fontId="2" fillId="0" borderId="0" xfId="2" applyNumberFormat="1" applyFont="1" applyBorder="1"/>
    <xf numFmtId="0" fontId="2" fillId="0" borderId="0" xfId="2" applyNumberFormat="1" applyFont="1" applyBorder="1" applyAlignment="1">
      <alignment horizontal="center"/>
    </xf>
    <xf numFmtId="0" fontId="3" fillId="0" borderId="0" xfId="2" applyNumberFormat="1" applyFont="1" applyBorder="1"/>
    <xf numFmtId="0" fontId="2" fillId="0" borderId="2" xfId="2" applyNumberFormat="1" applyFont="1" applyBorder="1"/>
    <xf numFmtId="14" fontId="26" fillId="7" borderId="37" xfId="4" applyNumberFormat="1" applyFont="1" applyFill="1" applyBorder="1" applyAlignment="1">
      <alignment horizontal="center" vertical="center" wrapText="1"/>
    </xf>
    <xf numFmtId="14" fontId="26" fillId="7" borderId="39" xfId="4" applyNumberFormat="1" applyFont="1" applyFill="1" applyBorder="1" applyAlignment="1">
      <alignment horizontal="center" vertical="center" wrapText="1"/>
    </xf>
    <xf numFmtId="0" fontId="22" fillId="7" borderId="0" xfId="4" applyFont="1" applyFill="1" applyAlignment="1">
      <alignment horizontal="left"/>
    </xf>
    <xf numFmtId="14" fontId="18" fillId="7" borderId="36" xfId="4" applyNumberFormat="1" applyFont="1" applyFill="1" applyBorder="1" applyAlignment="1">
      <alignment horizontal="center"/>
    </xf>
    <xf numFmtId="14" fontId="18" fillId="7" borderId="38" xfId="4" applyNumberFormat="1" applyFont="1" applyFill="1" applyBorder="1" applyAlignment="1">
      <alignment horizontal="center"/>
    </xf>
    <xf numFmtId="168" fontId="26" fillId="12" borderId="40" xfId="6" applyFont="1" applyFill="1" applyBorder="1" applyAlignment="1">
      <alignment horizontal="center" vertical="center" wrapText="1"/>
    </xf>
    <xf numFmtId="4" fontId="26" fillId="12" borderId="8" xfId="4" applyNumberFormat="1" applyFont="1" applyFill="1" applyBorder="1" applyAlignment="1">
      <alignment horizontal="center" vertical="center" wrapText="1"/>
    </xf>
    <xf numFmtId="4" fontId="26" fillId="12" borderId="9" xfId="4" applyNumberFormat="1" applyFont="1" applyFill="1" applyBorder="1" applyAlignment="1">
      <alignment horizontal="center" vertical="center" wrapText="1"/>
    </xf>
    <xf numFmtId="4" fontId="26" fillId="12" borderId="9" xfId="5" applyNumberFormat="1" applyFont="1" applyFill="1" applyBorder="1" applyAlignment="1">
      <alignment horizontal="center" vertical="center" wrapText="1"/>
    </xf>
    <xf numFmtId="169" fontId="29" fillId="12" borderId="32" xfId="7" applyNumberFormat="1" applyFont="1" applyFill="1" applyBorder="1" applyAlignment="1">
      <alignment horizontal="center" vertical="center" wrapText="1"/>
    </xf>
    <xf numFmtId="168" fontId="26" fillId="12" borderId="8" xfId="6" applyFont="1" applyFill="1" applyBorder="1" applyAlignment="1">
      <alignment horizontal="center" vertical="center" wrapText="1"/>
    </xf>
    <xf numFmtId="0" fontId="17" fillId="9" borderId="24" xfId="2" applyNumberFormat="1" applyFont="1" applyFill="1" applyBorder="1" applyAlignment="1" applyProtection="1">
      <alignment horizontal="left"/>
    </xf>
    <xf numFmtId="0" fontId="17" fillId="9" borderId="25" xfId="2" applyNumberFormat="1" applyFont="1" applyFill="1" applyBorder="1" applyAlignment="1" applyProtection="1">
      <alignment horizontal="left"/>
    </xf>
    <xf numFmtId="0" fontId="17" fillId="9" borderId="26" xfId="2" applyNumberFormat="1" applyFont="1" applyFill="1" applyBorder="1" applyAlignment="1" applyProtection="1">
      <alignment horizontal="left"/>
    </xf>
    <xf numFmtId="0" fontId="27" fillId="10" borderId="27" xfId="3" applyNumberFormat="1" applyFont="1" applyFill="1" applyBorder="1" applyAlignment="1">
      <alignment horizontal="center" vertical="center"/>
    </xf>
    <xf numFmtId="0" fontId="27" fillId="10" borderId="28" xfId="3" applyNumberFormat="1" applyFont="1" applyFill="1" applyBorder="1" applyAlignment="1">
      <alignment horizontal="center" vertical="center"/>
    </xf>
    <xf numFmtId="0" fontId="27" fillId="10" borderId="0" xfId="3" applyNumberFormat="1" applyFont="1" applyFill="1" applyBorder="1" applyAlignment="1">
      <alignment horizontal="center" vertical="center"/>
    </xf>
    <xf numFmtId="0" fontId="27" fillId="10" borderId="29" xfId="3" applyNumberFormat="1" applyFont="1" applyFill="1" applyBorder="1" applyAlignment="1">
      <alignment horizontal="center" vertical="center"/>
    </xf>
    <xf numFmtId="0" fontId="27" fillId="10" borderId="31" xfId="3" applyNumberFormat="1" applyFont="1" applyFill="1" applyBorder="1" applyAlignment="1">
      <alignment horizontal="center"/>
    </xf>
    <xf numFmtId="0" fontId="26" fillId="0" borderId="31" xfId="3" applyNumberFormat="1" applyFont="1" applyFill="1" applyBorder="1" applyAlignment="1"/>
    <xf numFmtId="17" fontId="32" fillId="0" borderId="0" xfId="0" applyNumberFormat="1" applyFont="1" applyAlignment="1">
      <alignment horizontal="center" vertical="center" wrapText="1"/>
    </xf>
    <xf numFmtId="0" fontId="29" fillId="7" borderId="32" xfId="4" applyFont="1" applyFill="1" applyBorder="1" applyAlignment="1">
      <alignment horizontal="left" vertical="center" wrapText="1"/>
    </xf>
    <xf numFmtId="0" fontId="18" fillId="7" borderId="34" xfId="4" applyFont="1" applyFill="1" applyBorder="1" applyAlignment="1">
      <alignment horizontal="left" vertical="center" wrapText="1"/>
    </xf>
    <xf numFmtId="0" fontId="18" fillId="7" borderId="48" xfId="4" applyFont="1" applyFill="1" applyBorder="1" applyAlignment="1">
      <alignment horizontal="left" vertical="center" wrapText="1"/>
    </xf>
    <xf numFmtId="0" fontId="22" fillId="7" borderId="18" xfId="4" applyFont="1" applyFill="1" applyBorder="1" applyAlignment="1">
      <alignment horizontal="left" vertical="center"/>
    </xf>
    <xf numFmtId="0" fontId="22" fillId="7" borderId="51" xfId="4" applyFont="1" applyFill="1" applyBorder="1" applyAlignment="1">
      <alignment horizontal="left" vertical="center"/>
    </xf>
  </cellXfs>
  <cellStyles count="8">
    <cellStyle name="Normal" xfId="0" builtinId="0"/>
    <cellStyle name="Normal 2" xfId="3"/>
    <cellStyle name="Normal 3" xfId="4"/>
    <cellStyle name="Porcentagem" xfId="7" builtinId="5"/>
    <cellStyle name="Porcentagem 2" xfId="5"/>
    <cellStyle name="TableStyleLight1" xfId="2"/>
    <cellStyle name="Vírgula" xfId="1" builtinId="3"/>
    <cellStyle name="Vírgula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sting/Clientes/Fipe/Campinas/2020/Resultados/CompraVidasProposta03_Cenario05/v3/Fluxos2020_Campev_PlanoPrevidenciario_Proposta03_v100_Id62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FluxosAtivos"/>
      <sheetName val="FluxosAposentados"/>
      <sheetName val="FluxosPensionistas"/>
      <sheetName val="Parcelamentos"/>
      <sheetName val="ResumoGeracaoAtual_BAC"/>
      <sheetName val="ResumoGeracaoAtual_BC"/>
      <sheetName val="ResumoGeracaoFutura"/>
      <sheetName val="ProjecoesAtuariais"/>
      <sheetName val="ProjecoesAtuariaisEquil"/>
      <sheetName val="ProjecoesAtuariaisEquil_AlUnica"/>
      <sheetName val="ProjecoesAtuariaisEquil_PlAtual"/>
      <sheetName val="DemonstrativoRecDesp"/>
      <sheetName val="DemonstrativoRecDespPlAtu"/>
      <sheetName val="DemonstrativoLRF_PlAtu"/>
      <sheetName val="DemonstrativoLRF"/>
      <sheetName val="DemonstrativoLRF_AliqAtuais"/>
      <sheetName val="ProjecoesAtuariais_Resumo"/>
      <sheetName val="ProjecoesAtuariaisEquil_Resumo"/>
      <sheetName val="ProjecoesAtuariaisEq_Res_Unica"/>
      <sheetName val="Tabela4_GerAtu"/>
      <sheetName val="Tabela4_GerFut"/>
      <sheetName val="Tabela4_Total"/>
      <sheetName val="DRAA"/>
      <sheetName val="Planilha1"/>
      <sheetName val="Planilha3"/>
      <sheetName val="Planilha2"/>
      <sheetName val="Custos"/>
      <sheetName val="ProvisoesMatematicas2013"/>
      <sheetName val="QuadroParecer"/>
      <sheetName val="QuadroPlanoAmort"/>
      <sheetName val="ProvisoesMatematicas2013_Eq"/>
      <sheetName val="ProvisoesMatematicas2013_Eq (2"/>
      <sheetName val="ProjecaoPM"/>
      <sheetName val="Auxil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360568637.57291549</v>
          </cell>
          <cell r="C6">
            <v>108170596.06776604</v>
          </cell>
          <cell r="E6">
            <v>50479609.395827048</v>
          </cell>
          <cell r="G6">
            <v>944406.53731240251</v>
          </cell>
          <cell r="H6">
            <v>1348678.8420094973</v>
          </cell>
          <cell r="Q6">
            <v>0</v>
          </cell>
          <cell r="AS6">
            <v>14539.247963887765</v>
          </cell>
          <cell r="AT6">
            <v>715148.37713159958</v>
          </cell>
          <cell r="AX6">
            <v>19540599.982580077</v>
          </cell>
        </row>
        <row r="7">
          <cell r="B7">
            <v>362757278.09322196</v>
          </cell>
          <cell r="C7">
            <v>108827188.00204107</v>
          </cell>
          <cell r="E7">
            <v>50786019.164461777</v>
          </cell>
          <cell r="G7">
            <v>1477344.0071067028</v>
          </cell>
          <cell r="H7">
            <v>2087830.9591705189</v>
          </cell>
          <cell r="Q7">
            <v>0</v>
          </cell>
          <cell r="AS7">
            <v>23239.352921848618</v>
          </cell>
          <cell r="AT7">
            <v>1046248.5449738924</v>
          </cell>
          <cell r="AX7">
            <v>19420220.509193867</v>
          </cell>
        </row>
        <row r="8">
          <cell r="B8">
            <v>364852729.3275907</v>
          </cell>
          <cell r="C8">
            <v>109455823.25737441</v>
          </cell>
          <cell r="E8">
            <v>51079382.37041942</v>
          </cell>
          <cell r="G8">
            <v>2057289.5632590014</v>
          </cell>
          <cell r="H8">
            <v>2871983.6663101087</v>
          </cell>
          <cell r="Q8">
            <v>0</v>
          </cell>
          <cell r="AS8">
            <v>33070.501169059018</v>
          </cell>
          <cell r="AT8">
            <v>1358019.6431695181</v>
          </cell>
          <cell r="AX8">
            <v>19279095.931431271</v>
          </cell>
        </row>
        <row r="9">
          <cell r="B9">
            <v>366842215.9400906</v>
          </cell>
          <cell r="C9">
            <v>110052669.04345353</v>
          </cell>
          <cell r="E9">
            <v>51357910.304757491</v>
          </cell>
          <cell r="G9">
            <v>2689715.9186156797</v>
          </cell>
          <cell r="H9">
            <v>3703326.4600008931</v>
          </cell>
          <cell r="Q9">
            <v>0</v>
          </cell>
          <cell r="AS9">
            <v>44198.10009763678</v>
          </cell>
          <cell r="AT9">
            <v>1649346.8989455649</v>
          </cell>
          <cell r="AX9">
            <v>19116960.973311357</v>
          </cell>
        </row>
        <row r="10">
          <cell r="B10">
            <v>366390946.52403307</v>
          </cell>
          <cell r="C10">
            <v>109917288.64550936</v>
          </cell>
          <cell r="E10">
            <v>51294732.816236243</v>
          </cell>
          <cell r="G10">
            <v>21835343.116296906</v>
          </cell>
          <cell r="H10">
            <v>4599845.7273152759</v>
          </cell>
          <cell r="Q10">
            <v>10434231.363897666</v>
          </cell>
          <cell r="AS10">
            <v>310612.43495482701</v>
          </cell>
          <cell r="AT10">
            <v>1920060.308909683</v>
          </cell>
          <cell r="AX10">
            <v>19256676.402313605</v>
          </cell>
        </row>
        <row r="11">
          <cell r="B11">
            <v>360811606.18968761</v>
          </cell>
          <cell r="C11">
            <v>108243486.33798084</v>
          </cell>
          <cell r="E11">
            <v>50513625.035959914</v>
          </cell>
          <cell r="G11">
            <v>28649679.298675824</v>
          </cell>
          <cell r="H11">
            <v>5556951.3637281731</v>
          </cell>
          <cell r="Q11">
            <v>14600990.717477471</v>
          </cell>
          <cell r="AS11">
            <v>387345.27353957243</v>
          </cell>
          <cell r="AT11">
            <v>2168560.672383253</v>
          </cell>
          <cell r="AX11">
            <v>19025500.408925071</v>
          </cell>
        </row>
        <row r="12">
          <cell r="B12">
            <v>357973315.64302623</v>
          </cell>
          <cell r="C12">
            <v>107391998.98824184</v>
          </cell>
          <cell r="E12">
            <v>50116264.375290163</v>
          </cell>
          <cell r="G12">
            <v>32993434.414080467</v>
          </cell>
          <cell r="H12">
            <v>6577044.854815485</v>
          </cell>
          <cell r="Q12">
            <v>16677811.395687088</v>
          </cell>
          <cell r="AS12">
            <v>440756.33149163821</v>
          </cell>
          <cell r="AT12">
            <v>2393899.4030669401</v>
          </cell>
          <cell r="AX12">
            <v>18782664.324117389</v>
          </cell>
        </row>
        <row r="13">
          <cell r="B13">
            <v>349689728.52570796</v>
          </cell>
          <cell r="C13">
            <v>104906922.61226188</v>
          </cell>
          <cell r="E13">
            <v>48956562.454730883</v>
          </cell>
          <cell r="G13">
            <v>41969816.700038388</v>
          </cell>
          <cell r="H13">
            <v>7664386.9195830189</v>
          </cell>
          <cell r="Q13">
            <v>22065567.87197737</v>
          </cell>
          <cell r="AS13">
            <v>544322.50484756508</v>
          </cell>
          <cell r="AT13">
            <v>2595199.7057343004</v>
          </cell>
          <cell r="AX13">
            <v>18504808.045945246</v>
          </cell>
        </row>
        <row r="14">
          <cell r="B14">
            <v>342359480.36269552</v>
          </cell>
          <cell r="C14">
            <v>102707847.6668051</v>
          </cell>
          <cell r="E14">
            <v>47930327.299113147</v>
          </cell>
          <cell r="G14">
            <v>49999311.591847055</v>
          </cell>
          <cell r="H14">
            <v>8821713.6820544973</v>
          </cell>
          <cell r="Q14">
            <v>27466229.951852798</v>
          </cell>
          <cell r="AS14">
            <v>600858.26058395393</v>
          </cell>
          <cell r="AT14">
            <v>2771607.6919337027</v>
          </cell>
          <cell r="AX14">
            <v>18208964.383700255</v>
          </cell>
        </row>
        <row r="15">
          <cell r="B15">
            <v>333668527.50571322</v>
          </cell>
          <cell r="C15">
            <v>100100562.5341669</v>
          </cell>
          <cell r="E15">
            <v>46713594.094930671</v>
          </cell>
          <cell r="G15">
            <v>59011282.106082246</v>
          </cell>
          <cell r="H15">
            <v>10049604.976991992</v>
          </cell>
          <cell r="Q15">
            <v>33258199.515773304</v>
          </cell>
          <cell r="AS15">
            <v>666418.30035642488</v>
          </cell>
          <cell r="AT15">
            <v>2922473.4434812199</v>
          </cell>
          <cell r="AX15">
            <v>17888328.965916418</v>
          </cell>
        </row>
        <row r="16">
          <cell r="B16">
            <v>320991426.59765929</v>
          </cell>
          <cell r="C16">
            <v>96297432.076548189</v>
          </cell>
          <cell r="E16">
            <v>44938799.876335971</v>
          </cell>
          <cell r="G16">
            <v>71027705.471747532</v>
          </cell>
          <cell r="H16">
            <v>11353033.18855916</v>
          </cell>
          <cell r="Q16">
            <v>41342340.333920158</v>
          </cell>
          <cell r="AS16">
            <v>773998.0855718879</v>
          </cell>
          <cell r="AT16">
            <v>3047470.0072345091</v>
          </cell>
          <cell r="AX16">
            <v>17532001.207053527</v>
          </cell>
        </row>
        <row r="17">
          <cell r="B17">
            <v>312481345.96482092</v>
          </cell>
          <cell r="C17">
            <v>93744407.243170634</v>
          </cell>
          <cell r="E17">
            <v>43747388.657793261</v>
          </cell>
          <cell r="G17">
            <v>79534796.098950312</v>
          </cell>
          <cell r="H17">
            <v>12728853.827992072</v>
          </cell>
          <cell r="Q17">
            <v>46530151.25348974</v>
          </cell>
          <cell r="AS17">
            <v>825514.17353144288</v>
          </cell>
          <cell r="AT17">
            <v>3145775.8029768714</v>
          </cell>
          <cell r="AX17">
            <v>17173997.93004949</v>
          </cell>
        </row>
        <row r="18">
          <cell r="B18">
            <v>301082337.71208352</v>
          </cell>
          <cell r="C18">
            <v>90324704.508776322</v>
          </cell>
          <cell r="E18">
            <v>42151527.652268946</v>
          </cell>
          <cell r="G18">
            <v>90183619.703121722</v>
          </cell>
          <cell r="H18">
            <v>14177492.910076395</v>
          </cell>
          <cell r="Q18">
            <v>52870490.364134818</v>
          </cell>
          <cell r="AS18">
            <v>908049.82705658511</v>
          </cell>
          <cell r="AT18">
            <v>3217083.2326911185</v>
          </cell>
          <cell r="AX18">
            <v>16786895.319049548</v>
          </cell>
        </row>
        <row r="19">
          <cell r="B19">
            <v>290575279.9745934</v>
          </cell>
          <cell r="C19">
            <v>87172586.824095324</v>
          </cell>
          <cell r="E19">
            <v>40680539.31363079</v>
          </cell>
          <cell r="G19">
            <v>99654407.757576123</v>
          </cell>
          <cell r="H19">
            <v>15698485.899115827</v>
          </cell>
          <cell r="Q19">
            <v>58062118.581983142</v>
          </cell>
          <cell r="AS19">
            <v>983393.03603645589</v>
          </cell>
          <cell r="AT19">
            <v>3261138.4134630733</v>
          </cell>
          <cell r="AX19">
            <v>16382825.495494289</v>
          </cell>
        </row>
        <row r="20">
          <cell r="B20">
            <v>278980827.70723456</v>
          </cell>
          <cell r="C20">
            <v>83694251.370293185</v>
          </cell>
          <cell r="E20">
            <v>39057315.926597707</v>
          </cell>
          <cell r="G20">
            <v>110010391.3770235</v>
          </cell>
          <cell r="H20">
            <v>17289623.919208124</v>
          </cell>
          <cell r="Q20">
            <v>63399926.470282309</v>
          </cell>
          <cell r="AS20">
            <v>1050537.9342945339</v>
          </cell>
          <cell r="AT20">
            <v>3277932.6271678638</v>
          </cell>
          <cell r="AX20">
            <v>15964285.290942112</v>
          </cell>
        </row>
        <row r="21">
          <cell r="B21">
            <v>265861652.53981647</v>
          </cell>
          <cell r="C21">
            <v>79758498.658997536</v>
          </cell>
          <cell r="E21">
            <v>37220631.523145139</v>
          </cell>
          <cell r="G21">
            <v>121143144.20414555</v>
          </cell>
          <cell r="H21">
            <v>18950182.575280823</v>
          </cell>
          <cell r="Q21">
            <v>67964364.576535776</v>
          </cell>
          <cell r="AS21">
            <v>1153645.7717080961</v>
          </cell>
          <cell r="AT21">
            <v>3268075.9029739052</v>
          </cell>
          <cell r="AX21">
            <v>15522462.74040933</v>
          </cell>
        </row>
        <row r="22">
          <cell r="B22">
            <v>250754065.0385035</v>
          </cell>
          <cell r="C22">
            <v>75226222.957537636</v>
          </cell>
          <cell r="E22">
            <v>35105569.196090668</v>
          </cell>
          <cell r="G22">
            <v>133603393.60308845</v>
          </cell>
          <cell r="H22">
            <v>20678156.818003219</v>
          </cell>
          <cell r="Q22">
            <v>72458375.713097841</v>
          </cell>
          <cell r="AS22">
            <v>1280682.6560694256</v>
          </cell>
          <cell r="AT22">
            <v>3232398.6793822423</v>
          </cell>
          <cell r="AX22">
            <v>15061131.840704355</v>
          </cell>
        </row>
        <row r="23">
          <cell r="B23">
            <v>235136332.15056849</v>
          </cell>
          <cell r="C23">
            <v>70540902.424098998</v>
          </cell>
          <cell r="E23">
            <v>32919086.531162053</v>
          </cell>
          <cell r="G23">
            <v>146154177.92358226</v>
          </cell>
          <cell r="H23">
            <v>22470367.604433104</v>
          </cell>
          <cell r="Q23">
            <v>76847961.509176999</v>
          </cell>
          <cell r="AS23">
            <v>1407091.5310141363</v>
          </cell>
          <cell r="AT23">
            <v>3171865.7912400588</v>
          </cell>
          <cell r="AX23">
            <v>14587203.528630197</v>
          </cell>
        </row>
        <row r="24">
          <cell r="B24">
            <v>219228285.11431175</v>
          </cell>
          <cell r="C24">
            <v>65768488.298330724</v>
          </cell>
          <cell r="E24">
            <v>30691959.872387744</v>
          </cell>
          <cell r="G24">
            <v>158627363.35646743</v>
          </cell>
          <cell r="H24">
            <v>24320911.137463592</v>
          </cell>
          <cell r="Q24">
            <v>80556821.094565645</v>
          </cell>
          <cell r="AS24">
            <v>1511813.7954040337</v>
          </cell>
          <cell r="AT24">
            <v>3087977.0094258562</v>
          </cell>
          <cell r="AX24">
            <v>14104183.798403587</v>
          </cell>
        </row>
        <row r="25">
          <cell r="B25">
            <v>203671911.96513847</v>
          </cell>
          <cell r="C25">
            <v>61101575.931354478</v>
          </cell>
          <cell r="E25">
            <v>28514067.852498136</v>
          </cell>
          <cell r="G25">
            <v>170396274.3858209</v>
          </cell>
          <cell r="H25">
            <v>26221918.733171914</v>
          </cell>
          <cell r="Q25">
            <v>83789306.313794106</v>
          </cell>
          <cell r="AS25">
            <v>1615614.2418599685</v>
          </cell>
          <cell r="AT25">
            <v>2982602.011017486</v>
          </cell>
          <cell r="AX25">
            <v>13615146.030912032</v>
          </cell>
        </row>
        <row r="26">
          <cell r="B26">
            <v>185709719.46916857</v>
          </cell>
          <cell r="C26">
            <v>55712917.899144992</v>
          </cell>
          <cell r="E26">
            <v>25999360.725923955</v>
          </cell>
          <cell r="G26">
            <v>183774328.51846543</v>
          </cell>
          <cell r="H26">
            <v>28169320.419116076</v>
          </cell>
          <cell r="Q26">
            <v>87262928.162687182</v>
          </cell>
          <cell r="AS26">
            <v>1745634.5249112721</v>
          </cell>
          <cell r="AT26">
            <v>2858233.4299746826</v>
          </cell>
          <cell r="AX26">
            <v>13114084.001553478</v>
          </cell>
        </row>
        <row r="27">
          <cell r="B27">
            <v>167941626.24216717</v>
          </cell>
          <cell r="C27">
            <v>50382489.883246951</v>
          </cell>
          <cell r="E27">
            <v>23511827.740312625</v>
          </cell>
          <cell r="G27">
            <v>196456115.17096466</v>
          </cell>
          <cell r="H27">
            <v>30160898.379963979</v>
          </cell>
          <cell r="Q27">
            <v>90065205.428474307</v>
          </cell>
          <cell r="AS27">
            <v>1873925.906481266</v>
          </cell>
          <cell r="AT27">
            <v>2717779.9774594689</v>
          </cell>
          <cell r="AX27">
            <v>12609689.073639503</v>
          </cell>
        </row>
        <row r="28">
          <cell r="B28">
            <v>148260464.10568923</v>
          </cell>
          <cell r="C28">
            <v>44478140.862127319</v>
          </cell>
          <cell r="E28">
            <v>20756465.040708683</v>
          </cell>
          <cell r="G28">
            <v>210358928.66681656</v>
          </cell>
          <cell r="H28">
            <v>32189854.938590214</v>
          </cell>
          <cell r="Q28">
            <v>92771075.39268595</v>
          </cell>
          <cell r="AS28">
            <v>2001095.1913593358</v>
          </cell>
          <cell r="AT28">
            <v>2564216.1035940652</v>
          </cell>
          <cell r="AX28">
            <v>12100980.090635877</v>
          </cell>
        </row>
        <row r="29">
          <cell r="B29">
            <v>130934677.51479903</v>
          </cell>
          <cell r="C29">
            <v>39280404.828673311</v>
          </cell>
          <cell r="E29">
            <v>18330854.928796701</v>
          </cell>
          <cell r="G29">
            <v>221677106.76600245</v>
          </cell>
          <cell r="H29">
            <v>34242067.985031269</v>
          </cell>
          <cell r="Q29">
            <v>94618937.306647107</v>
          </cell>
          <cell r="AS29">
            <v>2132951.8373662075</v>
          </cell>
          <cell r="AT29">
            <v>2400422.3163579213</v>
          </cell>
          <cell r="AX29">
            <v>11599973.150547529</v>
          </cell>
        </row>
        <row r="30">
          <cell r="B30">
            <v>113438905.74889843</v>
          </cell>
          <cell r="C30">
            <v>34031672.892865576</v>
          </cell>
          <cell r="E30">
            <v>15881446.891049597</v>
          </cell>
          <cell r="G30">
            <v>232631536.28998145</v>
          </cell>
          <cell r="H30">
            <v>36313206.111900799</v>
          </cell>
          <cell r="Q30">
            <v>95984763.862406641</v>
          </cell>
          <cell r="AS30">
            <v>2272511.354760732</v>
          </cell>
          <cell r="AT30">
            <v>2229744.0644110828</v>
          </cell>
          <cell r="AX30">
            <v>11103074.699291883</v>
          </cell>
        </row>
        <row r="31">
          <cell r="B31">
            <v>95687526.88232334</v>
          </cell>
          <cell r="C31">
            <v>28706259.451335177</v>
          </cell>
          <cell r="E31">
            <v>13396253.800600814</v>
          </cell>
          <cell r="G31">
            <v>243388793.15780833</v>
          </cell>
          <cell r="H31">
            <v>38393102.706545696</v>
          </cell>
          <cell r="Q31">
            <v>96669389.912652254</v>
          </cell>
          <cell r="AS31">
            <v>2400713.2396170245</v>
          </cell>
          <cell r="AT31">
            <v>2055317.4383658469</v>
          </cell>
          <cell r="AX31">
            <v>10614133.711334679</v>
          </cell>
        </row>
        <row r="32">
          <cell r="B32">
            <v>79373827.749361187</v>
          </cell>
          <cell r="C32">
            <v>23812149.225863617</v>
          </cell>
          <cell r="E32">
            <v>11112335.94935343</v>
          </cell>
          <cell r="G32">
            <v>252368509.26106331</v>
          </cell>
          <cell r="H32">
            <v>40471382.942983761</v>
          </cell>
          <cell r="Q32">
            <v>96904330.184149683</v>
          </cell>
          <cell r="AS32">
            <v>2524064.79772342</v>
          </cell>
          <cell r="AT32">
            <v>1880382.1790719861</v>
          </cell>
          <cell r="AX32">
            <v>10137499.613686504</v>
          </cell>
        </row>
        <row r="33">
          <cell r="B33">
            <v>62583078.132624462</v>
          </cell>
          <cell r="C33">
            <v>18774924.245490078</v>
          </cell>
          <cell r="E33">
            <v>8761630.9717004597</v>
          </cell>
          <cell r="G33">
            <v>261188850.97989374</v>
          </cell>
          <cell r="H33">
            <v>42538840.233781993</v>
          </cell>
          <cell r="Q33">
            <v>96781582.765110329</v>
          </cell>
          <cell r="AS33">
            <v>2664686.0703251152</v>
          </cell>
          <cell r="AT33">
            <v>1708187.7338664674</v>
          </cell>
          <cell r="AX33">
            <v>9669183.9837762769</v>
          </cell>
        </row>
        <row r="34">
          <cell r="B34">
            <v>48203583.385502249</v>
          </cell>
          <cell r="C34">
            <v>14461075.614464717</v>
          </cell>
          <cell r="E34">
            <v>6748501.6940024225</v>
          </cell>
          <cell r="G34">
            <v>267567583.85458976</v>
          </cell>
          <cell r="H34">
            <v>44581522.393180482</v>
          </cell>
          <cell r="Q34">
            <v>96046076.509363979</v>
          </cell>
          <cell r="AS34">
            <v>2772433.4000454573</v>
          </cell>
          <cell r="AT34">
            <v>1541519.9444033133</v>
          </cell>
          <cell r="AX34">
            <v>9222885.1203060988</v>
          </cell>
        </row>
        <row r="35">
          <cell r="B35">
            <v>37705779.347368002</v>
          </cell>
          <cell r="C35">
            <v>11311734.223541824</v>
          </cell>
          <cell r="E35">
            <v>5278809.1356525337</v>
          </cell>
          <cell r="G35">
            <v>270318593.42983317</v>
          </cell>
          <cell r="H35">
            <v>46581940.987247795</v>
          </cell>
          <cell r="Q35">
            <v>94763471.047038019</v>
          </cell>
          <cell r="AS35">
            <v>2824094.9366508126</v>
          </cell>
          <cell r="AT35">
            <v>1382643.2660400434</v>
          </cell>
          <cell r="AX35">
            <v>8805476.0583485682</v>
          </cell>
        </row>
        <row r="36">
          <cell r="B36">
            <v>28444898.993489917</v>
          </cell>
          <cell r="C36">
            <v>8533470.0512685049</v>
          </cell>
          <cell r="E36">
            <v>3982285.8740257025</v>
          </cell>
          <cell r="G36">
            <v>271661930.39247358</v>
          </cell>
          <cell r="H36">
            <v>48526688.650620013</v>
          </cell>
          <cell r="Q36">
            <v>93041949.622465789</v>
          </cell>
          <cell r="AS36">
            <v>2855592.7275194991</v>
          </cell>
          <cell r="AT36">
            <v>1233836.564027553</v>
          </cell>
          <cell r="AX36">
            <v>8409539.8182056975</v>
          </cell>
        </row>
        <row r="37">
          <cell r="B37">
            <v>19629368.366719883</v>
          </cell>
          <cell r="C37">
            <v>5888810.7621111022</v>
          </cell>
          <cell r="E37">
            <v>2748111.5852229404</v>
          </cell>
          <cell r="G37">
            <v>272101862.18266243</v>
          </cell>
          <cell r="H37">
            <v>50401455.755894624</v>
          </cell>
          <cell r="Q37">
            <v>91156701.853658572</v>
          </cell>
          <cell r="AS37">
            <v>2912071.4442056417</v>
          </cell>
          <cell r="AT37">
            <v>1096992.3037157054</v>
          </cell>
          <cell r="AX37">
            <v>8029860.2228587316</v>
          </cell>
        </row>
        <row r="38">
          <cell r="B38">
            <v>13368437.808142377</v>
          </cell>
          <cell r="C38">
            <v>4010531.5266380315</v>
          </cell>
          <cell r="E38">
            <v>1871581.2925501599</v>
          </cell>
          <cell r="G38">
            <v>270230242.7659387</v>
          </cell>
          <cell r="H38">
            <v>52187229.646567479</v>
          </cell>
          <cell r="Q38">
            <v>88918642.085679322</v>
          </cell>
          <cell r="AS38">
            <v>2894739.8961756579</v>
          </cell>
          <cell r="AT38">
            <v>973137.05106467591</v>
          </cell>
          <cell r="AX38">
            <v>7680645.3524138406</v>
          </cell>
        </row>
        <row r="39">
          <cell r="B39">
            <v>7979058.8177589625</v>
          </cell>
          <cell r="C39">
            <v>2393717.7581275823</v>
          </cell>
          <cell r="E39">
            <v>1117068.2431564273</v>
          </cell>
          <cell r="G39">
            <v>267203404.78203949</v>
          </cell>
          <cell r="H39">
            <v>53868919.748008482</v>
          </cell>
          <cell r="Q39">
            <v>86504757.707011715</v>
          </cell>
          <cell r="AS39">
            <v>2878083.1459260085</v>
          </cell>
          <cell r="AT39">
            <v>863394.53115202836</v>
          </cell>
          <cell r="AX39">
            <v>7351285.4103663135</v>
          </cell>
        </row>
        <row r="40">
          <cell r="B40">
            <v>5251075.5397533132</v>
          </cell>
          <cell r="C40">
            <v>1575322.7239765688</v>
          </cell>
          <cell r="E40">
            <v>735150.57970056299</v>
          </cell>
          <cell r="G40">
            <v>261720040.15732673</v>
          </cell>
          <cell r="H40">
            <v>55428151.30788748</v>
          </cell>
          <cell r="Q40">
            <v>83783395.166646436</v>
          </cell>
          <cell r="AS40">
            <v>2820303.4611299196</v>
          </cell>
          <cell r="AT40">
            <v>768153.12071662548</v>
          </cell>
          <cell r="AX40">
            <v>7050868.3096235376</v>
          </cell>
        </row>
        <row r="41">
          <cell r="B41">
            <v>2514233.3985689837</v>
          </cell>
          <cell r="C41">
            <v>754270.05165664328</v>
          </cell>
          <cell r="E41">
            <v>351992.67395039799</v>
          </cell>
          <cell r="G41">
            <v>255850479.43067363</v>
          </cell>
          <cell r="H41">
            <v>56848060.717307441</v>
          </cell>
          <cell r="Q41">
            <v>80913028.594773546</v>
          </cell>
          <cell r="AS41">
            <v>2778922.2933731899</v>
          </cell>
          <cell r="AT41">
            <v>687532.88439309876</v>
          </cell>
          <cell r="AX41">
            <v>6766117.3502356503</v>
          </cell>
        </row>
        <row r="42">
          <cell r="B42">
            <v>998275.93146612763</v>
          </cell>
          <cell r="C42">
            <v>299482.79245707113</v>
          </cell>
          <cell r="E42">
            <v>139758.6302363991</v>
          </cell>
          <cell r="G42">
            <v>248733256.14031312</v>
          </cell>
          <cell r="H42">
            <v>58110389.583681971</v>
          </cell>
          <cell r="Q42">
            <v>77906218.611923948</v>
          </cell>
          <cell r="AS42">
            <v>2707643.4897780195</v>
          </cell>
          <cell r="AT42">
            <v>621172.13595853723</v>
          </cell>
          <cell r="AX42">
            <v>6502463.0501536159</v>
          </cell>
        </row>
        <row r="43">
          <cell r="B43">
            <v>528716.54887428309</v>
          </cell>
          <cell r="C43">
            <v>158614.97009859901</v>
          </cell>
          <cell r="E43">
            <v>74020.317632172562</v>
          </cell>
          <cell r="G43">
            <v>240534178.13283828</v>
          </cell>
          <cell r="H43">
            <v>59196299.257791117</v>
          </cell>
          <cell r="Q43">
            <v>74760996.339195445</v>
          </cell>
          <cell r="AS43">
            <v>2613508.7575121364</v>
          </cell>
          <cell r="AT43">
            <v>568311.22190504847</v>
          </cell>
          <cell r="AX43">
            <v>6257494.5911378078</v>
          </cell>
        </row>
        <row r="44">
          <cell r="B44">
            <v>170629.82936720253</v>
          </cell>
          <cell r="C44">
            <v>51188.94984484309</v>
          </cell>
          <cell r="E44">
            <v>23888.176022986117</v>
          </cell>
          <cell r="G44">
            <v>231979428.00380817</v>
          </cell>
          <cell r="H44">
            <v>60088109.598429151</v>
          </cell>
          <cell r="Q44">
            <v>71503140.197647333</v>
          </cell>
          <cell r="AS44">
            <v>2516627.0892316569</v>
          </cell>
          <cell r="AT44">
            <v>527841.82086897292</v>
          </cell>
          <cell r="AX44">
            <v>6024562.9521851409</v>
          </cell>
        </row>
        <row r="45">
          <cell r="B45">
            <v>96082.317782710685</v>
          </cell>
          <cell r="C45">
            <v>28824.696217965935</v>
          </cell>
          <cell r="E45">
            <v>13451.524355951318</v>
          </cell>
          <cell r="G45">
            <v>222950474.4761751</v>
          </cell>
          <cell r="H45">
            <v>60768599.811517194</v>
          </cell>
          <cell r="Q45">
            <v>68148433.554564282</v>
          </cell>
          <cell r="AS45">
            <v>2417206.7522546919</v>
          </cell>
          <cell r="AT45">
            <v>498160.87589315983</v>
          </cell>
          <cell r="AX45">
            <v>5801915.6522697471</v>
          </cell>
        </row>
        <row r="46">
          <cell r="B46">
            <v>44546.036152934015</v>
          </cell>
          <cell r="C46">
            <v>13363.811085393976</v>
          </cell>
          <cell r="E46">
            <v>6236.445053426969</v>
          </cell>
          <cell r="G46">
            <v>213683983.81174955</v>
          </cell>
          <cell r="H46">
            <v>61221175.063644961</v>
          </cell>
          <cell r="Q46">
            <v>64712212.098062158</v>
          </cell>
          <cell r="AS46">
            <v>2315489.5232497999</v>
          </cell>
          <cell r="AT46">
            <v>477225.29837423889</v>
          </cell>
          <cell r="AX46">
            <v>5585897.968964098</v>
          </cell>
        </row>
        <row r="47">
          <cell r="B47">
            <v>22209.127552449518</v>
          </cell>
          <cell r="C47">
            <v>6662.7382657348553</v>
          </cell>
          <cell r="E47">
            <v>3109.2779357388058</v>
          </cell>
          <cell r="G47">
            <v>204200006.87873623</v>
          </cell>
          <cell r="H47">
            <v>61430227.020656921</v>
          </cell>
          <cell r="Q47">
            <v>61211325.952015467</v>
          </cell>
          <cell r="AS47">
            <v>2211751.13835544</v>
          </cell>
          <cell r="AT47">
            <v>462827.92693767243</v>
          </cell>
          <cell r="AX47">
            <v>5373642.2710735621</v>
          </cell>
        </row>
        <row r="48">
          <cell r="B48">
            <v>0</v>
          </cell>
          <cell r="C48">
            <v>0</v>
          </cell>
          <cell r="E48">
            <v>0</v>
          </cell>
          <cell r="G48">
            <v>194551851.04210585</v>
          </cell>
          <cell r="H48">
            <v>61381812.954105422</v>
          </cell>
          <cell r="Q48">
            <v>57663924.80944553</v>
          </cell>
          <cell r="AS48">
            <v>2106297.3805982806</v>
          </cell>
          <cell r="AT48">
            <v>452990.45597081853</v>
          </cell>
          <cell r="AX48">
            <v>5162311.7792485906</v>
          </cell>
        </row>
        <row r="49">
          <cell r="B49">
            <v>0</v>
          </cell>
          <cell r="C49">
            <v>0</v>
          </cell>
          <cell r="E49">
            <v>0</v>
          </cell>
          <cell r="G49">
            <v>184754110.68124881</v>
          </cell>
          <cell r="H49">
            <v>61064483.279289842</v>
          </cell>
          <cell r="Q49">
            <v>54089305.163305491</v>
          </cell>
          <cell r="AS49">
            <v>1999459.386936778</v>
          </cell>
          <cell r="AT49">
            <v>446095.27717687091</v>
          </cell>
          <cell r="AX49">
            <v>4949581.7596204299</v>
          </cell>
        </row>
        <row r="50">
          <cell r="B50">
            <v>0</v>
          </cell>
          <cell r="C50">
            <v>0</v>
          </cell>
          <cell r="E50">
            <v>0</v>
          </cell>
          <cell r="G50">
            <v>174860406.88478661</v>
          </cell>
          <cell r="H50">
            <v>60469771.43484585</v>
          </cell>
          <cell r="Q50">
            <v>50507535.098994859</v>
          </cell>
          <cell r="AS50">
            <v>1891599.3491353511</v>
          </cell>
          <cell r="AT50">
            <v>440813.79999836651</v>
          </cell>
          <cell r="AX50">
            <v>4733473.3146978598</v>
          </cell>
        </row>
        <row r="51">
          <cell r="B51">
            <v>0</v>
          </cell>
          <cell r="C51">
            <v>0</v>
          </cell>
          <cell r="E51">
            <v>0</v>
          </cell>
          <cell r="G51">
            <v>164908888.61356747</v>
          </cell>
          <cell r="H51">
            <v>59592403.936435997</v>
          </cell>
          <cell r="Q51">
            <v>46939153.448580742</v>
          </cell>
          <cell r="AS51">
            <v>1783116.9670545908</v>
          </cell>
          <cell r="AT51">
            <v>435997.79571845266</v>
          </cell>
          <cell r="AX51">
            <v>4512870.2503354391</v>
          </cell>
        </row>
        <row r="52">
          <cell r="B52">
            <v>0</v>
          </cell>
          <cell r="C52">
            <v>0</v>
          </cell>
          <cell r="E52">
            <v>0</v>
          </cell>
          <cell r="G52">
            <v>154940664.51238394</v>
          </cell>
          <cell r="H52">
            <v>58430716.10803844</v>
          </cell>
          <cell r="Q52">
            <v>43405133.978942752</v>
          </cell>
          <cell r="AS52">
            <v>1674457.004959394</v>
          </cell>
          <cell r="AT52">
            <v>430623.3437508854</v>
          </cell>
          <cell r="AX52">
            <v>4287468.4855364421</v>
          </cell>
        </row>
        <row r="53">
          <cell r="B53">
            <v>0</v>
          </cell>
          <cell r="C53">
            <v>0</v>
          </cell>
          <cell r="E53">
            <v>0</v>
          </cell>
          <cell r="G53">
            <v>144999158.21606681</v>
          </cell>
          <cell r="H53">
            <v>56986778.175674401</v>
          </cell>
          <cell r="Q53">
            <v>39926300.779542342</v>
          </cell>
          <cell r="AS53">
            <v>1566100.8732797867</v>
          </cell>
          <cell r="AT53">
            <v>423850.98269334174</v>
          </cell>
          <cell r="AX53">
            <v>4057576.4791665571</v>
          </cell>
        </row>
        <row r="54">
          <cell r="B54">
            <v>0</v>
          </cell>
          <cell r="C54">
            <v>0</v>
          </cell>
          <cell r="E54">
            <v>0</v>
          </cell>
          <cell r="G54">
            <v>135129304.26257065</v>
          </cell>
          <cell r="H54">
            <v>55266898.145145692</v>
          </cell>
          <cell r="Q54">
            <v>36522639.549261421</v>
          </cell>
          <cell r="AS54">
            <v>1458549.9817753844</v>
          </cell>
          <cell r="AT54">
            <v>415138.00372034463</v>
          </cell>
          <cell r="AX54">
            <v>3823924.4222444464</v>
          </cell>
        </row>
        <row r="55">
          <cell r="B55">
            <v>0</v>
          </cell>
          <cell r="C55">
            <v>0</v>
          </cell>
          <cell r="E55">
            <v>0</v>
          </cell>
          <cell r="G55">
            <v>125375741.89591429</v>
          </cell>
          <cell r="H55">
            <v>53281776.579274587</v>
          </cell>
          <cell r="Q55">
            <v>33212695.895855777</v>
          </cell>
          <cell r="AS55">
            <v>1352289.2116042268</v>
          </cell>
          <cell r="AT55">
            <v>404244.45395577169</v>
          </cell>
          <cell r="AX55">
            <v>3587481.1394514968</v>
          </cell>
        </row>
        <row r="56">
          <cell r="B56">
            <v>0</v>
          </cell>
          <cell r="C56">
            <v>0</v>
          </cell>
          <cell r="E56">
            <v>0</v>
          </cell>
          <cell r="G56">
            <v>115781801.9646396</v>
          </cell>
          <cell r="H56">
            <v>51046302.429428592</v>
          </cell>
          <cell r="Q56">
            <v>30013123.245058782</v>
          </cell>
          <cell r="AS56">
            <v>1247774.2762240686</v>
          </cell>
          <cell r="AT56">
            <v>391138.67343373084</v>
          </cell>
          <cell r="AX56">
            <v>3349349.6286829859</v>
          </cell>
        </row>
        <row r="57">
          <cell r="B57">
            <v>0</v>
          </cell>
          <cell r="C57">
            <v>0</v>
          </cell>
          <cell r="E57">
            <v>0</v>
          </cell>
          <cell r="G57">
            <v>106389395.60053794</v>
          </cell>
          <cell r="H57">
            <v>48579939.07210166</v>
          </cell>
          <cell r="Q57">
            <v>26938693.301390376</v>
          </cell>
          <cell r="AS57">
            <v>1145448.0663064611</v>
          </cell>
          <cell r="AT57">
            <v>375903.65357762261</v>
          </cell>
          <cell r="AX57">
            <v>3110731.0321026924</v>
          </cell>
        </row>
        <row r="58">
          <cell r="B58">
            <v>0</v>
          </cell>
          <cell r="C58">
            <v>0</v>
          </cell>
          <cell r="E58">
            <v>0</v>
          </cell>
          <cell r="G58">
            <v>97238484.562240869</v>
          </cell>
          <cell r="H58">
            <v>45907370.943818308</v>
          </cell>
          <cell r="Q58">
            <v>24002693.478789151</v>
          </cell>
          <cell r="AS58">
            <v>1045748.0996975102</v>
          </cell>
          <cell r="AT58">
            <v>358684.61353281647</v>
          </cell>
          <cell r="AX58">
            <v>2872904.5378578985</v>
          </cell>
        </row>
        <row r="59">
          <cell r="B59">
            <v>0</v>
          </cell>
          <cell r="C59">
            <v>0</v>
          </cell>
          <cell r="E59">
            <v>0</v>
          </cell>
          <cell r="G59">
            <v>88366476.893855408</v>
          </cell>
          <cell r="H59">
            <v>43058159.084274687</v>
          </cell>
          <cell r="Q59">
            <v>21216990.359329265</v>
          </cell>
          <cell r="AS59">
            <v>949096.35575595661</v>
          </cell>
          <cell r="AT59">
            <v>339669.90751455893</v>
          </cell>
          <cell r="AX59">
            <v>2637202.3715139716</v>
          </cell>
        </row>
        <row r="60">
          <cell r="B60">
            <v>0</v>
          </cell>
          <cell r="C60">
            <v>0</v>
          </cell>
          <cell r="E60">
            <v>0</v>
          </cell>
          <cell r="G60">
            <v>79808860.181656808</v>
          </cell>
          <cell r="H60">
            <v>40066569.321286254</v>
          </cell>
          <cell r="Q60">
            <v>18592411.94386718</v>
          </cell>
          <cell r="AS60">
            <v>855894.14436663839</v>
          </cell>
          <cell r="AT60">
            <v>319090.02339528769</v>
          </cell>
          <cell r="AX60">
            <v>2405021.5069416659</v>
          </cell>
        </row>
        <row r="61">
          <cell r="B61">
            <v>0</v>
          </cell>
          <cell r="C61">
            <v>0</v>
          </cell>
          <cell r="E61">
            <v>0</v>
          </cell>
          <cell r="G61">
            <v>71599716.90794301</v>
          </cell>
          <cell r="H61">
            <v>36970778.840078853</v>
          </cell>
          <cell r="Q61">
            <v>16139104.128895119</v>
          </cell>
          <cell r="AS61">
            <v>766521.61106622755</v>
          </cell>
          <cell r="AT61">
            <v>297220.68833827978</v>
          </cell>
          <cell r="AX61">
            <v>2177813.1863066028</v>
          </cell>
        </row>
        <row r="62">
          <cell r="B62">
            <v>0</v>
          </cell>
          <cell r="C62">
            <v>0</v>
          </cell>
          <cell r="E62">
            <v>0</v>
          </cell>
          <cell r="G62">
            <v>63771399.247105315</v>
          </cell>
          <cell r="H62">
            <v>33811559.352704205</v>
          </cell>
          <cell r="Q62">
            <v>13865980.128174407</v>
          </cell>
          <cell r="AS62">
            <v>681334.72363052447</v>
          </cell>
          <cell r="AT62">
            <v>274377.91256548715</v>
          </cell>
          <cell r="AX62">
            <v>1957043.8481484414</v>
          </cell>
        </row>
        <row r="63">
          <cell r="B63">
            <v>0</v>
          </cell>
          <cell r="C63">
            <v>0</v>
          </cell>
          <cell r="E63">
            <v>0</v>
          </cell>
          <cell r="G63">
            <v>56353866.513291359</v>
          </cell>
          <cell r="H63">
            <v>30631475.649715669</v>
          </cell>
          <cell r="Q63">
            <v>11780193.615967926</v>
          </cell>
          <cell r="AS63">
            <v>600658.79952282028</v>
          </cell>
          <cell r="AT63">
            <v>250909.32744455399</v>
          </cell>
          <cell r="AX63">
            <v>1744154.4745143186</v>
          </cell>
        </row>
        <row r="64">
          <cell r="B64">
            <v>0</v>
          </cell>
          <cell r="C64">
            <v>0</v>
          </cell>
          <cell r="E64">
            <v>0</v>
          </cell>
          <cell r="G64">
            <v>49374023.187032402</v>
          </cell>
          <cell r="H64">
            <v>27473834.398965746</v>
          </cell>
          <cell r="Q64">
            <v>9886693.0848060064</v>
          </cell>
          <cell r="AS64">
            <v>524791.36708276998</v>
          </cell>
          <cell r="AT64">
            <v>227178.10633182674</v>
          </cell>
          <cell r="AX64">
            <v>1540571.953485837</v>
          </cell>
        </row>
        <row r="65">
          <cell r="B65">
            <v>0</v>
          </cell>
          <cell r="C65">
            <v>0</v>
          </cell>
          <cell r="E65">
            <v>0</v>
          </cell>
          <cell r="G65">
            <v>42855112.252530247</v>
          </cell>
          <cell r="H65">
            <v>24381175.733848143</v>
          </cell>
          <cell r="Q65">
            <v>8187651.1962069906</v>
          </cell>
          <cell r="AS65">
            <v>453998.25295989309</v>
          </cell>
          <cell r="AT65">
            <v>203542.88879594748</v>
          </cell>
          <cell r="AX65">
            <v>1347615.7763785261</v>
          </cell>
        </row>
        <row r="66">
          <cell r="B66">
            <v>0</v>
          </cell>
          <cell r="C66">
            <v>0</v>
          </cell>
          <cell r="E66">
            <v>0</v>
          </cell>
          <cell r="G66">
            <v>36816793.466864929</v>
          </cell>
          <cell r="H66">
            <v>21393635.728773449</v>
          </cell>
          <cell r="Q66">
            <v>6682289.8003861681</v>
          </cell>
          <cell r="AS66">
            <v>388518.34839883359</v>
          </cell>
          <cell r="AT66">
            <v>180342.62415101382</v>
          </cell>
          <cell r="AX66">
            <v>1166483.4048306879</v>
          </cell>
        </row>
        <row r="67">
          <cell r="B67">
            <v>0</v>
          </cell>
          <cell r="C67">
            <v>0</v>
          </cell>
          <cell r="E67">
            <v>0</v>
          </cell>
          <cell r="G67">
            <v>31274991.626695208</v>
          </cell>
          <cell r="H67">
            <v>18547809.578813024</v>
          </cell>
          <cell r="Q67">
            <v>5366985.5888301134</v>
          </cell>
          <cell r="AS67">
            <v>328555.08139858249</v>
          </cell>
          <cell r="AT67">
            <v>157888.02393764292</v>
          </cell>
          <cell r="AX67">
            <v>998221.21695336315</v>
          </cell>
        </row>
        <row r="68">
          <cell r="B68">
            <v>0</v>
          </cell>
          <cell r="C68">
            <v>0</v>
          </cell>
          <cell r="E68">
            <v>0</v>
          </cell>
          <cell r="G68">
            <v>26240935.666766495</v>
          </cell>
          <cell r="H68">
            <v>15876161.777527215</v>
          </cell>
          <cell r="Q68">
            <v>4235505.2556177946</v>
          </cell>
          <cell r="AS68">
            <v>274241.54442174843</v>
          </cell>
          <cell r="AT68">
            <v>136463.16407830382</v>
          </cell>
          <cell r="AX68">
            <v>843693.85983087344</v>
          </cell>
        </row>
        <row r="69">
          <cell r="B69">
            <v>0</v>
          </cell>
          <cell r="C69">
            <v>0</v>
          </cell>
          <cell r="E69">
            <v>0</v>
          </cell>
          <cell r="G69">
            <v>21719910.331055541</v>
          </cell>
          <cell r="H69">
            <v>13406192.455772141</v>
          </cell>
          <cell r="Q69">
            <v>3279027.8315065214</v>
          </cell>
          <cell r="AS69">
            <v>225616.67089281458</v>
          </cell>
          <cell r="AT69">
            <v>116328.98996396923</v>
          </cell>
          <cell r="AX69">
            <v>703545.48947053915</v>
          </cell>
        </row>
        <row r="70">
          <cell r="B70">
            <v>0</v>
          </cell>
          <cell r="C70">
            <v>0</v>
          </cell>
          <cell r="E70">
            <v>0</v>
          </cell>
          <cell r="G70">
            <v>17710333.044539519</v>
          </cell>
          <cell r="H70">
            <v>11159022.292915737</v>
          </cell>
          <cell r="Q70">
            <v>2486001.9938425445</v>
          </cell>
          <cell r="AS70">
            <v>182627.14942508272</v>
          </cell>
          <cell r="AT70">
            <v>97712.669209480504</v>
          </cell>
          <cell r="AX70">
            <v>578152.28418683773</v>
          </cell>
        </row>
        <row r="71">
          <cell r="B71">
            <v>0</v>
          </cell>
          <cell r="C71">
            <v>0</v>
          </cell>
          <cell r="E71">
            <v>0</v>
          </cell>
          <cell r="G71">
            <v>14203597.953126838</v>
          </cell>
          <cell r="H71">
            <v>9147940.4030590579</v>
          </cell>
          <cell r="Q71">
            <v>1842309.191785716</v>
          </cell>
          <cell r="AS71">
            <v>145145.33028660045</v>
          </cell>
          <cell r="AT71">
            <v>80788.657578560073</v>
          </cell>
          <cell r="AX71">
            <v>467591.96833796497</v>
          </cell>
        </row>
        <row r="72">
          <cell r="B72">
            <v>0</v>
          </cell>
          <cell r="C72">
            <v>0</v>
          </cell>
          <cell r="E72">
            <v>0</v>
          </cell>
          <cell r="G72">
            <v>11184150.748576131</v>
          </cell>
          <cell r="H72">
            <v>7378299.602785904</v>
          </cell>
          <cell r="Q72">
            <v>1331816.9031006387</v>
          </cell>
          <cell r="AS72">
            <v>112980.01558122197</v>
          </cell>
          <cell r="AT72">
            <v>65670.727381366873</v>
          </cell>
          <cell r="AX72">
            <v>371647.99463180045</v>
          </cell>
        </row>
        <row r="73">
          <cell r="B73">
            <v>0</v>
          </cell>
          <cell r="C73">
            <v>0</v>
          </cell>
          <cell r="E73">
            <v>0</v>
          </cell>
          <cell r="G73">
            <v>8629551.533574326</v>
          </cell>
          <cell r="H73">
            <v>5848250.1424495643</v>
          </cell>
          <cell r="Q73">
            <v>937156.5877423744</v>
          </cell>
          <cell r="AS73">
            <v>85878.52650466506</v>
          </cell>
          <cell r="AT73">
            <v>52414.267507243203</v>
          </cell>
          <cell r="AX73">
            <v>289827.00502450357</v>
          </cell>
        </row>
        <row r="74">
          <cell r="B74">
            <v>0</v>
          </cell>
          <cell r="C74">
            <v>0</v>
          </cell>
          <cell r="E74">
            <v>0</v>
          </cell>
          <cell r="G74">
            <v>6510037.1623839829</v>
          </cell>
          <cell r="H74">
            <v>4549799.1017401582</v>
          </cell>
          <cell r="Q74">
            <v>640395.86784780002</v>
          </cell>
          <cell r="AS74">
            <v>63521.639183310952</v>
          </cell>
          <cell r="AT74">
            <v>41017.113338005453</v>
          </cell>
          <cell r="AX74">
            <v>221369.98023110043</v>
          </cell>
        </row>
        <row r="75">
          <cell r="B75">
            <v>0</v>
          </cell>
          <cell r="C75">
            <v>0</v>
          </cell>
          <cell r="E75">
            <v>0</v>
          </cell>
          <cell r="G75">
            <v>4788998.2416093256</v>
          </cell>
          <cell r="H75">
            <v>3469570.0084998365</v>
          </cell>
          <cell r="Q75">
            <v>423752.60837733455</v>
          </cell>
          <cell r="AS75">
            <v>45519.717408332726</v>
          </cell>
          <cell r="AT75">
            <v>31419.495320410093</v>
          </cell>
          <cell r="AX75">
            <v>165274.72420197196</v>
          </cell>
        </row>
        <row r="76">
          <cell r="B76">
            <v>0</v>
          </cell>
          <cell r="C76">
            <v>0</v>
          </cell>
          <cell r="E76">
            <v>0</v>
          </cell>
          <cell r="G76">
            <v>3424951.9534950787</v>
          </cell>
          <cell r="H76">
            <v>2589529.6242640377</v>
          </cell>
          <cell r="Q76">
            <v>270557.58757438138</v>
          </cell>
          <cell r="AS76">
            <v>31426.025833927441</v>
          </cell>
          <cell r="AT76">
            <v>23511.665718598841</v>
          </cell>
          <cell r="AX76">
            <v>120347.20024089389</v>
          </cell>
        </row>
        <row r="77">
          <cell r="B77">
            <v>0</v>
          </cell>
          <cell r="C77">
            <v>0</v>
          </cell>
          <cell r="E77">
            <v>0</v>
          </cell>
          <cell r="G77">
            <v>2373808.7085522255</v>
          </cell>
          <cell r="H77">
            <v>1888002.4301191652</v>
          </cell>
          <cell r="Q77">
            <v>166030.1775808197</v>
          </cell>
          <cell r="AS77">
            <v>20758.659230057732</v>
          </cell>
          <cell r="AT77">
            <v>17141.499705951817</v>
          </cell>
          <cell r="AX77">
            <v>85266.372898785674</v>
          </cell>
        </row>
        <row r="78">
          <cell r="B78">
            <v>0</v>
          </cell>
          <cell r="C78">
            <v>0</v>
          </cell>
          <cell r="E78">
            <v>0</v>
          </cell>
          <cell r="G78">
            <v>1589968.0641483872</v>
          </cell>
          <cell r="H78">
            <v>1341277.4034750375</v>
          </cell>
          <cell r="Q78">
            <v>97546.497896524175</v>
          </cell>
          <cell r="AS78">
            <v>13014.946323123957</v>
          </cell>
          <cell r="AT78">
            <v>12130.861974052763</v>
          </cell>
          <cell r="AX78">
            <v>58639.678675516145</v>
          </cell>
        </row>
        <row r="79">
          <cell r="B79">
            <v>0</v>
          </cell>
          <cell r="C79">
            <v>0</v>
          </cell>
          <cell r="E79">
            <v>0</v>
          </cell>
          <cell r="G79">
            <v>1026678.9754732656</v>
          </cell>
          <cell r="H79">
            <v>925546.21587226843</v>
          </cell>
          <cell r="Q79">
            <v>54665.842363469696</v>
          </cell>
          <cell r="AS79">
            <v>7673.5390546741446</v>
          </cell>
          <cell r="AT79">
            <v>8291.8978854793168</v>
          </cell>
          <cell r="AX79">
            <v>39051.011414427747</v>
          </cell>
        </row>
        <row r="80">
          <cell r="B80">
            <v>0</v>
          </cell>
          <cell r="C80">
            <v>0</v>
          </cell>
          <cell r="E80">
            <v>0</v>
          </cell>
          <cell r="G80">
            <v>637345.56665976904</v>
          </cell>
          <cell r="H80">
            <v>618107.47457206331</v>
          </cell>
          <cell r="Q80">
            <v>29097.734586106679</v>
          </cell>
          <cell r="AS80">
            <v>4202.2643046392313</v>
          </cell>
          <cell r="AT80">
            <v>5437.6728631954957</v>
          </cell>
          <cell r="AX80">
            <v>25111.493188868903</v>
          </cell>
        </row>
      </sheetData>
      <sheetData sheetId="6">
        <row r="6">
          <cell r="B6">
            <v>498109450.14194983</v>
          </cell>
          <cell r="C6">
            <v>116058826.03481652</v>
          </cell>
          <cell r="F6">
            <v>29192238.676760539</v>
          </cell>
        </row>
        <row r="7">
          <cell r="B7">
            <v>484692066.41198575</v>
          </cell>
          <cell r="C7">
            <v>119996505.9882085</v>
          </cell>
          <cell r="F7">
            <v>28308229.912128903</v>
          </cell>
        </row>
        <row r="8">
          <cell r="B8">
            <v>470726340.9715547</v>
          </cell>
          <cell r="C8">
            <v>123446453.04284884</v>
          </cell>
          <cell r="F8">
            <v>27398758.550928421</v>
          </cell>
        </row>
        <row r="9">
          <cell r="B9">
            <v>456224936.50910562</v>
          </cell>
          <cell r="C9">
            <v>126387853.83775502</v>
          </cell>
          <cell r="F9">
            <v>26465304.541834358</v>
          </cell>
        </row>
        <row r="10">
          <cell r="B10">
            <v>441205327.54029149</v>
          </cell>
          <cell r="C10">
            <v>128802357.20774353</v>
          </cell>
          <cell r="F10">
            <v>25509606.822415091</v>
          </cell>
        </row>
        <row r="11">
          <cell r="B11">
            <v>425691422.48448634</v>
          </cell>
          <cell r="C11">
            <v>130565361.10967553</v>
          </cell>
          <cell r="F11">
            <v>24528316.830126051</v>
          </cell>
        </row>
        <row r="12">
          <cell r="B12">
            <v>409712169.19117463</v>
          </cell>
          <cell r="C12">
            <v>131877252.10277258</v>
          </cell>
          <cell r="F12">
            <v>23534455.56425209</v>
          </cell>
        </row>
        <row r="13">
          <cell r="B13">
            <v>393301040.86778295</v>
          </cell>
          <cell r="C13">
            <v>132615429.28414994</v>
          </cell>
          <cell r="F13">
            <v>22524925.067988373</v>
          </cell>
        </row>
        <row r="14">
          <cell r="B14">
            <v>376500074.3826052</v>
          </cell>
          <cell r="C14">
            <v>132767639.16581059</v>
          </cell>
          <cell r="F14">
            <v>21502372.534311228</v>
          </cell>
        </row>
        <row r="15">
          <cell r="B15">
            <v>359358503.12022698</v>
          </cell>
          <cell r="C15">
            <v>132328530.58680645</v>
          </cell>
          <cell r="F15">
            <v>20469903.758063734</v>
          </cell>
        </row>
        <row r="16">
          <cell r="B16">
            <v>341932566.16299951</v>
          </cell>
          <cell r="C16">
            <v>131295328.93171084</v>
          </cell>
          <cell r="F16">
            <v>19430950.771627989</v>
          </cell>
        </row>
        <row r="17">
          <cell r="B17">
            <v>324286244.77725649</v>
          </cell>
          <cell r="C17">
            <v>129668655.83345458</v>
          </cell>
          <cell r="F17">
            <v>18389354.207196869</v>
          </cell>
        </row>
        <row r="18">
          <cell r="B18">
            <v>306489300.15208429</v>
          </cell>
          <cell r="C18">
            <v>127412015.4751114</v>
          </cell>
          <cell r="F18">
            <v>17348658.185351372</v>
          </cell>
        </row>
        <row r="19">
          <cell r="B19">
            <v>288615176.39542633</v>
          </cell>
          <cell r="C19">
            <v>124597924.74800277</v>
          </cell>
          <cell r="F19">
            <v>16311798.214380993</v>
          </cell>
        </row>
        <row r="20">
          <cell r="B20">
            <v>270738374.62633783</v>
          </cell>
          <cell r="C20">
            <v>121195046.91730154</v>
          </cell>
          <cell r="F20">
            <v>15281088.008738546</v>
          </cell>
        </row>
        <row r="21">
          <cell r="B21">
            <v>252934229.16694838</v>
          </cell>
          <cell r="C21">
            <v>117233928.53427519</v>
          </cell>
          <cell r="F21">
            <v>14260888.977401061</v>
          </cell>
        </row>
        <row r="22">
          <cell r="B22">
            <v>235278843.65379307</v>
          </cell>
          <cell r="C22">
            <v>112742132.92182949</v>
          </cell>
          <cell r="F22">
            <v>13254229.418573674</v>
          </cell>
        </row>
        <row r="23">
          <cell r="B23">
            <v>217850197.49032107</v>
          </cell>
          <cell r="C23">
            <v>107749101.26260491</v>
          </cell>
          <cell r="F23">
            <v>12263669.437007165</v>
          </cell>
        </row>
        <row r="24">
          <cell r="B24">
            <v>200728344.94764715</v>
          </cell>
          <cell r="C24">
            <v>102304285.36428949</v>
          </cell>
          <cell r="F24">
            <v>11293027.117406273</v>
          </cell>
        </row>
        <row r="25">
          <cell r="B25">
            <v>183989680.86369035</v>
          </cell>
          <cell r="C25">
            <v>96477515.597779959</v>
          </cell>
          <cell r="F25">
            <v>10347226.758440224</v>
          </cell>
        </row>
        <row r="26">
          <cell r="B26">
            <v>167709853.73986724</v>
          </cell>
          <cell r="C26">
            <v>90340977.931056514</v>
          </cell>
          <cell r="F26">
            <v>9430612.9310636818</v>
          </cell>
        </row>
        <row r="27">
          <cell r="B27">
            <v>151962296.99584773</v>
          </cell>
          <cell r="C27">
            <v>83963516.893031538</v>
          </cell>
          <cell r="F27">
            <v>8546470.2479899414</v>
          </cell>
        </row>
        <row r="28">
          <cell r="B28">
            <v>136816710.0454092</v>
          </cell>
          <cell r="C28">
            <v>77423046.775288641</v>
          </cell>
          <cell r="F28">
            <v>7698542.0408540796</v>
          </cell>
        </row>
        <row r="29">
          <cell r="B29">
            <v>122336864.69139153</v>
          </cell>
          <cell r="C29">
            <v>70807940.570152178</v>
          </cell>
          <cell r="F29">
            <v>6890973.4409093093</v>
          </cell>
        </row>
        <row r="30">
          <cell r="B30">
            <v>108579147.25100051</v>
          </cell>
          <cell r="C30">
            <v>64190939.562813006</v>
          </cell>
          <cell r="F30">
            <v>6125728.8189646769</v>
          </cell>
        </row>
        <row r="31">
          <cell r="B31">
            <v>95592315.836554021</v>
          </cell>
          <cell r="C31">
            <v>57644946.983502567</v>
          </cell>
          <cell r="F31">
            <v>5404391.7043106332</v>
          </cell>
        </row>
        <row r="32">
          <cell r="B32">
            <v>83417016.594030157</v>
          </cell>
          <cell r="C32">
            <v>51244244.136886798</v>
          </cell>
          <cell r="F32">
            <v>4728344.7519873288</v>
          </cell>
        </row>
        <row r="33">
          <cell r="B33">
            <v>72085374.698887408</v>
          </cell>
          <cell r="C33">
            <v>45063055.143626243</v>
          </cell>
          <cell r="F33">
            <v>4098741.942697688</v>
          </cell>
        </row>
        <row r="34">
          <cell r="B34">
            <v>61623745.194882795</v>
          </cell>
          <cell r="C34">
            <v>39167821.187149599</v>
          </cell>
          <cell r="F34">
            <v>3516270.4648865615</v>
          </cell>
        </row>
        <row r="35">
          <cell r="B35">
            <v>52053813.868633017</v>
          </cell>
          <cell r="C35">
            <v>33613675.28434632</v>
          </cell>
          <cell r="F35">
            <v>2981089.2771404912</v>
          </cell>
        </row>
        <row r="36">
          <cell r="B36">
            <v>43389439.665237017</v>
          </cell>
          <cell r="C36">
            <v>28454033.208464332</v>
          </cell>
          <cell r="F36">
            <v>2493955.8673879495</v>
          </cell>
        </row>
        <row r="37">
          <cell r="B37">
            <v>35632082.275484286</v>
          </cell>
          <cell r="C37">
            <v>23728242.562175401</v>
          </cell>
          <cell r="F37">
            <v>2054792.6250478788</v>
          </cell>
        </row>
        <row r="38">
          <cell r="B38">
            <v>28771091.800539747</v>
          </cell>
          <cell r="C38">
            <v>19475265.599503711</v>
          </cell>
          <cell r="F38">
            <v>1664106.0130786907</v>
          </cell>
        </row>
        <row r="39">
          <cell r="B39">
            <v>22786748.597649202</v>
          </cell>
          <cell r="C39">
            <v>15726138.572859526</v>
          </cell>
          <cell r="F39">
            <v>1322582.5591090969</v>
          </cell>
        </row>
        <row r="40">
          <cell r="B40">
            <v>17649266.86599144</v>
          </cell>
          <cell r="C40">
            <v>12494881.610217918</v>
          </cell>
          <cell r="F40">
            <v>1029984.0866818447</v>
          </cell>
        </row>
        <row r="41">
          <cell r="B41">
            <v>13319191.708701488</v>
          </cell>
          <cell r="C41">
            <v>9773902.2565310206</v>
          </cell>
          <cell r="F41">
            <v>784609.34110772342</v>
          </cell>
        </row>
        <row r="42">
          <cell r="B42">
            <v>9749853.9532700591</v>
          </cell>
          <cell r="C42">
            <v>7531376.8989495328</v>
          </cell>
          <cell r="F42">
            <v>582782.7054113294</v>
          </cell>
        </row>
        <row r="43">
          <cell r="B43">
            <v>6888102.7943029143</v>
          </cell>
          <cell r="C43">
            <v>5727432.8230837975</v>
          </cell>
          <cell r="F43">
            <v>420759.77093077952</v>
          </cell>
        </row>
        <row r="44">
          <cell r="B44">
            <v>4672936.4284487003</v>
          </cell>
          <cell r="C44">
            <v>4317043.7492038487</v>
          </cell>
          <cell r="F44">
            <v>295017.72627448803</v>
          </cell>
        </row>
        <row r="45">
          <cell r="B45">
            <v>3033035.9876263738</v>
          </cell>
          <cell r="C45">
            <v>3247590.0203859755</v>
          </cell>
          <cell r="F45">
            <v>201674.97441851732</v>
          </cell>
        </row>
        <row r="46">
          <cell r="B46">
            <v>1885744.1786251708</v>
          </cell>
          <cell r="C46">
            <v>2459449.3580322731</v>
          </cell>
          <cell r="F46">
            <v>136170.72214139046</v>
          </cell>
        </row>
        <row r="47">
          <cell r="B47">
            <v>1138736.5506442878</v>
          </cell>
          <cell r="C47">
            <v>1890933.9760882179</v>
          </cell>
          <cell r="F47">
            <v>93360.597453318216</v>
          </cell>
        </row>
        <row r="48">
          <cell r="B48">
            <v>694269.3802274405</v>
          </cell>
          <cell r="C48">
            <v>1487655.585990787</v>
          </cell>
          <cell r="F48">
            <v>67684.784369811488</v>
          </cell>
        </row>
        <row r="49">
          <cell r="B49">
            <v>454409.57945958094</v>
          </cell>
          <cell r="C49">
            <v>1206084.4410232664</v>
          </cell>
          <cell r="F49">
            <v>53499.579039970027</v>
          </cell>
        </row>
        <row r="50">
          <cell r="B50">
            <v>331506.96243753424</v>
          </cell>
          <cell r="C50">
            <v>1011980.4528229518</v>
          </cell>
          <cell r="F50">
            <v>45760.255999628083</v>
          </cell>
        </row>
        <row r="51">
          <cell r="B51">
            <v>263973.56607835519</v>
          </cell>
          <cell r="C51">
            <v>878246.40069016127</v>
          </cell>
          <cell r="F51">
            <v>40952.025422255778</v>
          </cell>
        </row>
        <row r="52">
          <cell r="B52">
            <v>219017.3618041529</v>
          </cell>
          <cell r="C52">
            <v>783026.29459558148</v>
          </cell>
          <cell r="F52">
            <v>37235.667457738156</v>
          </cell>
        </row>
        <row r="53">
          <cell r="B53">
            <v>183472.58382099707</v>
          </cell>
          <cell r="C53">
            <v>709414.98276564677</v>
          </cell>
          <cell r="F53">
            <v>33899.943761663177</v>
          </cell>
        </row>
        <row r="54">
          <cell r="B54">
            <v>153619.19283078983</v>
          </cell>
          <cell r="C54">
            <v>646399.51167520252</v>
          </cell>
          <cell r="F54">
            <v>30769.442767665503</v>
          </cell>
        </row>
        <row r="55">
          <cell r="B55">
            <v>128296.23690196226</v>
          </cell>
          <cell r="C55">
            <v>588242.26048397645</v>
          </cell>
          <cell r="F55">
            <v>27809.206036876269</v>
          </cell>
        </row>
        <row r="56">
          <cell r="B56">
            <v>106835.26657334711</v>
          </cell>
          <cell r="C56">
            <v>532541.773507762</v>
          </cell>
          <cell r="F56">
            <v>25004.543972958465</v>
          </cell>
        </row>
        <row r="57">
          <cell r="B57">
            <v>88662.393446323025</v>
          </cell>
          <cell r="C57">
            <v>478554.53904868616</v>
          </cell>
          <cell r="F57">
            <v>22343.976505563882</v>
          </cell>
        </row>
        <row r="58">
          <cell r="B58">
            <v>73244.359315195281</v>
          </cell>
          <cell r="C58">
            <v>426127.0275205478</v>
          </cell>
          <cell r="F58">
            <v>19819.101546831098</v>
          </cell>
        </row>
        <row r="59">
          <cell r="B59">
            <v>60106.596107413243</v>
          </cell>
          <cell r="C59">
            <v>375376.00146106735</v>
          </cell>
          <cell r="F59">
            <v>17426.852476496835</v>
          </cell>
        </row>
        <row r="60">
          <cell r="B60">
            <v>48833.328439524885</v>
          </cell>
          <cell r="C60">
            <v>326812.51570071065</v>
          </cell>
          <cell r="F60">
            <v>15170.023601972602</v>
          </cell>
        </row>
        <row r="61">
          <cell r="B61">
            <v>39102.2395495171</v>
          </cell>
          <cell r="C61">
            <v>281061.32775875699</v>
          </cell>
          <cell r="F61">
            <v>13056.023750064809</v>
          </cell>
        </row>
        <row r="62">
          <cell r="B62">
            <v>30702.42170962624</v>
          </cell>
          <cell r="C62">
            <v>238531.38590291661</v>
          </cell>
          <cell r="F62">
            <v>11096.059607612815</v>
          </cell>
        </row>
        <row r="63">
          <cell r="B63">
            <v>23509.335189923087</v>
          </cell>
          <cell r="C63">
            <v>198872.22751898775</v>
          </cell>
          <cell r="F63">
            <v>9303.5279222552581</v>
          </cell>
        </row>
        <row r="64">
          <cell r="B64">
            <v>17448.144264586732</v>
          </cell>
          <cell r="C64">
            <v>163291.94402910981</v>
          </cell>
          <cell r="F64">
            <v>7693.0416237267409</v>
          </cell>
        </row>
        <row r="65">
          <cell r="B65">
            <v>12469.685187777834</v>
          </cell>
          <cell r="C65">
            <v>132031.14736013283</v>
          </cell>
          <cell r="F65">
            <v>6278.7127995539504</v>
          </cell>
        </row>
        <row r="66">
          <cell r="B66">
            <v>8529.6716058618549</v>
          </cell>
          <cell r="C66">
            <v>105211.37429016206</v>
          </cell>
          <cell r="F66">
            <v>5068.9415487056076</v>
          </cell>
        </row>
        <row r="67">
          <cell r="B67">
            <v>5546.8180039613981</v>
          </cell>
          <cell r="C67">
            <v>82712.824155963026</v>
          </cell>
          <cell r="F67">
            <v>4055.9279859235839</v>
          </cell>
        </row>
        <row r="68">
          <cell r="B68">
            <v>3409.4091565608223</v>
          </cell>
          <cell r="C68">
            <v>64186.138093407651</v>
          </cell>
          <cell r="F68">
            <v>3212.9996136604709</v>
          </cell>
        </row>
        <row r="69">
          <cell r="B69">
            <v>1980.6462436474364</v>
          </cell>
          <cell r="C69">
            <v>49191.040455627328</v>
          </cell>
          <cell r="F69">
            <v>2507.8068626632635</v>
          </cell>
        </row>
        <row r="70">
          <cell r="B70">
            <v>1087.5356140057638</v>
          </cell>
          <cell r="C70">
            <v>37171.336272623157</v>
          </cell>
          <cell r="F70">
            <v>1910.8631340969334</v>
          </cell>
        </row>
        <row r="71">
          <cell r="B71">
            <v>554.806342177538</v>
          </cell>
          <cell r="C71">
            <v>27505.25437017094</v>
          </cell>
          <cell r="F71">
            <v>1402.4695423197597</v>
          </cell>
        </row>
        <row r="72">
          <cell r="B72">
            <v>251.23150081044162</v>
          </cell>
          <cell r="C72">
            <v>19698.148727177591</v>
          </cell>
          <cell r="F72">
            <v>974.76322873191589</v>
          </cell>
        </row>
        <row r="73">
          <cell r="B73">
            <v>95.130084857127301</v>
          </cell>
          <cell r="C73">
            <v>13453.445116432893</v>
          </cell>
          <cell r="F73">
            <v>627.31714547555009</v>
          </cell>
        </row>
        <row r="74">
          <cell r="B74">
            <v>27.903426133616748</v>
          </cell>
          <cell r="C74">
            <v>8634.8440047471431</v>
          </cell>
          <cell r="F74">
            <v>363.23281080581131</v>
          </cell>
        </row>
        <row r="75">
          <cell r="B75">
            <v>5.6759236099716466</v>
          </cell>
          <cell r="C75">
            <v>5162.2840658256746</v>
          </cell>
          <cell r="F75">
            <v>182.9487099277145</v>
          </cell>
        </row>
        <row r="76">
          <cell r="B76">
            <v>0.84560080014589512</v>
          </cell>
          <cell r="C76">
            <v>2877.5886847771649</v>
          </cell>
          <cell r="F76">
            <v>77.212906000426216</v>
          </cell>
        </row>
        <row r="77">
          <cell r="B77">
            <v>0.11852922559902988</v>
          </cell>
          <cell r="C77">
            <v>1507.3877386673594</v>
          </cell>
          <cell r="F77">
            <v>26.207014026828734</v>
          </cell>
        </row>
        <row r="78">
          <cell r="B78">
            <v>1.6594097322354579E-2</v>
          </cell>
          <cell r="C78">
            <v>738.44955828508841</v>
          </cell>
          <cell r="F78">
            <v>6.8133006628775261</v>
          </cell>
        </row>
        <row r="79">
          <cell r="B79">
            <v>0</v>
          </cell>
          <cell r="C79">
            <v>325.37937585340569</v>
          </cell>
          <cell r="F79">
            <v>1.2883968986869128</v>
          </cell>
        </row>
        <row r="80">
          <cell r="B80">
            <v>0</v>
          </cell>
          <cell r="C80">
            <v>121.61821161259894</v>
          </cell>
          <cell r="F80">
            <v>0.1901582448462884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">
          <cell r="E6">
            <v>100000000</v>
          </cell>
          <cell r="F6">
            <v>170000000</v>
          </cell>
          <cell r="G6">
            <v>0</v>
          </cell>
          <cell r="H6">
            <v>0</v>
          </cell>
          <cell r="I6">
            <v>15424207.080000002</v>
          </cell>
          <cell r="J6">
            <v>100000000</v>
          </cell>
        </row>
        <row r="7">
          <cell r="E7">
            <v>100000000</v>
          </cell>
          <cell r="F7">
            <v>170000000</v>
          </cell>
          <cell r="G7">
            <v>50000000</v>
          </cell>
          <cell r="H7">
            <v>0</v>
          </cell>
          <cell r="I7">
            <v>15424207.080000002</v>
          </cell>
          <cell r="J7">
            <v>0</v>
          </cell>
        </row>
        <row r="8">
          <cell r="E8">
            <v>100000000</v>
          </cell>
          <cell r="F8">
            <v>170000000</v>
          </cell>
          <cell r="G8">
            <v>50000000</v>
          </cell>
          <cell r="H8">
            <v>0</v>
          </cell>
          <cell r="I8">
            <v>15424207.080000002</v>
          </cell>
          <cell r="J8">
            <v>0</v>
          </cell>
        </row>
        <row r="9">
          <cell r="E9">
            <v>100000000</v>
          </cell>
          <cell r="F9">
            <v>170000000</v>
          </cell>
          <cell r="G9">
            <v>50000000</v>
          </cell>
          <cell r="H9">
            <v>0</v>
          </cell>
          <cell r="I9">
            <v>15424207.080000002</v>
          </cell>
          <cell r="J9">
            <v>0</v>
          </cell>
        </row>
        <row r="10">
          <cell r="E10">
            <v>100000000</v>
          </cell>
          <cell r="F10">
            <v>170000000</v>
          </cell>
          <cell r="G10">
            <v>50000000</v>
          </cell>
          <cell r="H10">
            <v>0</v>
          </cell>
          <cell r="I10">
            <v>15424207.080000002</v>
          </cell>
          <cell r="J10">
            <v>0</v>
          </cell>
        </row>
        <row r="11">
          <cell r="E11">
            <v>100000000</v>
          </cell>
          <cell r="F11">
            <v>170000000</v>
          </cell>
          <cell r="G11">
            <v>50000000</v>
          </cell>
          <cell r="H11">
            <v>60000000</v>
          </cell>
          <cell r="I11">
            <v>15424207.080000002</v>
          </cell>
          <cell r="J11">
            <v>0</v>
          </cell>
        </row>
        <row r="12">
          <cell r="E12">
            <v>100000000</v>
          </cell>
          <cell r="F12">
            <v>170000000</v>
          </cell>
          <cell r="G12">
            <v>50000000</v>
          </cell>
          <cell r="H12">
            <v>0</v>
          </cell>
          <cell r="I12">
            <v>15424207.080000002</v>
          </cell>
          <cell r="J12">
            <v>0</v>
          </cell>
        </row>
        <row r="13">
          <cell r="E13">
            <v>100000000</v>
          </cell>
          <cell r="F13">
            <v>170000000</v>
          </cell>
          <cell r="G13">
            <v>50000000</v>
          </cell>
          <cell r="H13">
            <v>0</v>
          </cell>
          <cell r="I13">
            <v>15424207.080000002</v>
          </cell>
          <cell r="J13">
            <v>0</v>
          </cell>
        </row>
        <row r="14">
          <cell r="E14">
            <v>100000000</v>
          </cell>
          <cell r="F14">
            <v>170000000</v>
          </cell>
          <cell r="G14">
            <v>50000000</v>
          </cell>
          <cell r="H14">
            <v>0</v>
          </cell>
          <cell r="I14">
            <v>15424207.080000002</v>
          </cell>
          <cell r="J14">
            <v>0</v>
          </cell>
        </row>
        <row r="15">
          <cell r="E15">
            <v>100000000</v>
          </cell>
          <cell r="F15">
            <v>170000000</v>
          </cell>
          <cell r="G15">
            <v>50000000</v>
          </cell>
          <cell r="H15">
            <v>0</v>
          </cell>
          <cell r="I15">
            <v>15424207.080000002</v>
          </cell>
          <cell r="J15">
            <v>0</v>
          </cell>
        </row>
        <row r="16">
          <cell r="E16">
            <v>100000000</v>
          </cell>
          <cell r="F16">
            <v>170000000</v>
          </cell>
          <cell r="G16">
            <v>50000000</v>
          </cell>
          <cell r="H16">
            <v>60000000</v>
          </cell>
          <cell r="I16">
            <v>15424207.080000002</v>
          </cell>
          <cell r="J16">
            <v>0</v>
          </cell>
        </row>
        <row r="17">
          <cell r="E17">
            <v>100000000</v>
          </cell>
          <cell r="F17">
            <v>170000000</v>
          </cell>
          <cell r="G17">
            <v>50000000</v>
          </cell>
          <cell r="H17">
            <v>0</v>
          </cell>
          <cell r="I17">
            <v>15424207.080000002</v>
          </cell>
          <cell r="J17">
            <v>0</v>
          </cell>
        </row>
        <row r="18">
          <cell r="E18">
            <v>100000000</v>
          </cell>
          <cell r="F18">
            <v>170000000</v>
          </cell>
          <cell r="G18">
            <v>50000000</v>
          </cell>
          <cell r="H18">
            <v>0</v>
          </cell>
          <cell r="I18">
            <v>15424207.080000002</v>
          </cell>
          <cell r="J18">
            <v>0</v>
          </cell>
        </row>
        <row r="19">
          <cell r="E19">
            <v>100000000</v>
          </cell>
          <cell r="F19">
            <v>170000000</v>
          </cell>
          <cell r="G19">
            <v>50000000</v>
          </cell>
          <cell r="H19">
            <v>0</v>
          </cell>
          <cell r="I19">
            <v>15424207.080000002</v>
          </cell>
          <cell r="J19">
            <v>0</v>
          </cell>
        </row>
        <row r="20">
          <cell r="E20">
            <v>100000000</v>
          </cell>
          <cell r="F20">
            <v>170000000</v>
          </cell>
          <cell r="G20">
            <v>50000000</v>
          </cell>
          <cell r="H20">
            <v>0</v>
          </cell>
          <cell r="I20">
            <v>15424207.080000002</v>
          </cell>
          <cell r="J20">
            <v>0</v>
          </cell>
        </row>
        <row r="21">
          <cell r="E21">
            <v>100000000</v>
          </cell>
          <cell r="F21">
            <v>170000000</v>
          </cell>
          <cell r="G21">
            <v>50000000</v>
          </cell>
          <cell r="H21">
            <v>60000000</v>
          </cell>
          <cell r="I21">
            <v>15424207.080000002</v>
          </cell>
          <cell r="J21">
            <v>0</v>
          </cell>
        </row>
        <row r="22">
          <cell r="E22">
            <v>100000000</v>
          </cell>
          <cell r="F22">
            <v>170000000</v>
          </cell>
          <cell r="G22">
            <v>50000000</v>
          </cell>
          <cell r="H22">
            <v>0</v>
          </cell>
          <cell r="I22">
            <v>10282804.720000001</v>
          </cell>
          <cell r="J22">
            <v>0</v>
          </cell>
        </row>
        <row r="23">
          <cell r="E23">
            <v>100000000</v>
          </cell>
          <cell r="F23">
            <v>170000000</v>
          </cell>
          <cell r="G23">
            <v>50000000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100000000</v>
          </cell>
          <cell r="F24">
            <v>170000000</v>
          </cell>
          <cell r="G24">
            <v>50000000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100000000</v>
          </cell>
          <cell r="F25">
            <v>170000000</v>
          </cell>
          <cell r="G25">
            <v>50000000</v>
          </cell>
          <cell r="H25">
            <v>0</v>
          </cell>
          <cell r="I25">
            <v>0</v>
          </cell>
          <cell r="J25">
            <v>0</v>
          </cell>
        </row>
        <row r="26">
          <cell r="E26">
            <v>100000000</v>
          </cell>
          <cell r="F26">
            <v>170000000</v>
          </cell>
          <cell r="G26">
            <v>50000000</v>
          </cell>
          <cell r="H26">
            <v>60000000</v>
          </cell>
          <cell r="I26">
            <v>0</v>
          </cell>
          <cell r="J26">
            <v>0</v>
          </cell>
        </row>
        <row r="27">
          <cell r="E27">
            <v>100000000</v>
          </cell>
          <cell r="F27">
            <v>170000000</v>
          </cell>
          <cell r="G27">
            <v>50000000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100000000</v>
          </cell>
          <cell r="F28">
            <v>170000000</v>
          </cell>
          <cell r="G28">
            <v>50000000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100000000</v>
          </cell>
          <cell r="F29">
            <v>170000000</v>
          </cell>
          <cell r="G29">
            <v>50000000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100000000</v>
          </cell>
          <cell r="F30">
            <v>170000000</v>
          </cell>
          <cell r="G30">
            <v>50000000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100000000</v>
          </cell>
          <cell r="F31">
            <v>170000000</v>
          </cell>
          <cell r="G31">
            <v>50000000</v>
          </cell>
          <cell r="H31">
            <v>60000000</v>
          </cell>
          <cell r="I31">
            <v>0</v>
          </cell>
          <cell r="J31">
            <v>0</v>
          </cell>
        </row>
        <row r="32">
          <cell r="E32">
            <v>100000000</v>
          </cell>
          <cell r="F32">
            <v>170000000</v>
          </cell>
          <cell r="G32">
            <v>50000000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100000000</v>
          </cell>
          <cell r="F33">
            <v>170000000</v>
          </cell>
          <cell r="G33">
            <v>50000000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100000000</v>
          </cell>
          <cell r="F34">
            <v>170000000</v>
          </cell>
          <cell r="G34">
            <v>50000000</v>
          </cell>
          <cell r="H34">
            <v>0</v>
          </cell>
          <cell r="I34">
            <v>0</v>
          </cell>
          <cell r="J34">
            <v>0</v>
          </cell>
        </row>
        <row r="35">
          <cell r="E35">
            <v>100000000</v>
          </cell>
          <cell r="F35">
            <v>170000000</v>
          </cell>
          <cell r="G35">
            <v>50000000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100000000</v>
          </cell>
          <cell r="F36">
            <v>170000000</v>
          </cell>
          <cell r="G36">
            <v>50000000</v>
          </cell>
          <cell r="H36">
            <v>60000000</v>
          </cell>
          <cell r="I36">
            <v>0</v>
          </cell>
          <cell r="J36">
            <v>0</v>
          </cell>
        </row>
        <row r="37">
          <cell r="E37">
            <v>100000000</v>
          </cell>
          <cell r="F37">
            <v>170000000</v>
          </cell>
          <cell r="G37">
            <v>50000000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100000000</v>
          </cell>
          <cell r="F38">
            <v>170000000</v>
          </cell>
          <cell r="G38">
            <v>50000000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100000000</v>
          </cell>
          <cell r="F39">
            <v>170000000</v>
          </cell>
          <cell r="G39">
            <v>50000000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100000000</v>
          </cell>
          <cell r="F40">
            <v>170000000</v>
          </cell>
          <cell r="G40">
            <v>50000000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100000000</v>
          </cell>
          <cell r="F41">
            <v>170000000</v>
          </cell>
          <cell r="G41">
            <v>50000000</v>
          </cell>
          <cell r="H41">
            <v>60000000</v>
          </cell>
          <cell r="I41">
            <v>0</v>
          </cell>
          <cell r="J41">
            <v>0</v>
          </cell>
        </row>
        <row r="42">
          <cell r="E42">
            <v>100000000</v>
          </cell>
          <cell r="F42">
            <v>170000000</v>
          </cell>
          <cell r="G42">
            <v>50000000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100000000</v>
          </cell>
          <cell r="F43">
            <v>170000000</v>
          </cell>
          <cell r="G43">
            <v>50000000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100000000</v>
          </cell>
          <cell r="F44">
            <v>170000000</v>
          </cell>
          <cell r="G44">
            <v>50000000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100000000</v>
          </cell>
          <cell r="F45">
            <v>170000000</v>
          </cell>
          <cell r="G45">
            <v>50000000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100000000</v>
          </cell>
          <cell r="F46">
            <v>170000000</v>
          </cell>
          <cell r="G46">
            <v>50000000</v>
          </cell>
          <cell r="H46">
            <v>60000000</v>
          </cell>
          <cell r="I46">
            <v>0</v>
          </cell>
          <cell r="J46">
            <v>0</v>
          </cell>
        </row>
        <row r="47">
          <cell r="E47">
            <v>100000000</v>
          </cell>
          <cell r="F47">
            <v>170000000</v>
          </cell>
          <cell r="G47">
            <v>50000000</v>
          </cell>
          <cell r="H47">
            <v>0</v>
          </cell>
          <cell r="I47">
            <v>0</v>
          </cell>
          <cell r="J47">
            <v>0</v>
          </cell>
        </row>
        <row r="48">
          <cell r="E48">
            <v>100000000</v>
          </cell>
          <cell r="F48">
            <v>170000000</v>
          </cell>
          <cell r="G48">
            <v>50000000</v>
          </cell>
          <cell r="H48">
            <v>0</v>
          </cell>
          <cell r="I48">
            <v>0</v>
          </cell>
          <cell r="J48">
            <v>0</v>
          </cell>
        </row>
        <row r="49">
          <cell r="E49">
            <v>100000000</v>
          </cell>
          <cell r="F49">
            <v>170000000</v>
          </cell>
          <cell r="G49">
            <v>50000000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100000000</v>
          </cell>
          <cell r="F50">
            <v>170000000</v>
          </cell>
          <cell r="G50">
            <v>50000000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100000000</v>
          </cell>
          <cell r="F51">
            <v>170000000</v>
          </cell>
          <cell r="G51">
            <v>50000000</v>
          </cell>
          <cell r="H51">
            <v>60000000</v>
          </cell>
          <cell r="I51">
            <v>0</v>
          </cell>
          <cell r="J51">
            <v>0</v>
          </cell>
        </row>
        <row r="52">
          <cell r="E52">
            <v>100000000</v>
          </cell>
          <cell r="F52">
            <v>170000000</v>
          </cell>
          <cell r="G52">
            <v>50000000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100000000</v>
          </cell>
          <cell r="F53">
            <v>170000000</v>
          </cell>
          <cell r="G53">
            <v>50000000</v>
          </cell>
          <cell r="H53">
            <v>0</v>
          </cell>
          <cell r="I53">
            <v>0</v>
          </cell>
          <cell r="J53">
            <v>0</v>
          </cell>
        </row>
        <row r="54">
          <cell r="E54">
            <v>100000000</v>
          </cell>
          <cell r="F54">
            <v>170000000</v>
          </cell>
          <cell r="G54">
            <v>50000000</v>
          </cell>
          <cell r="H54">
            <v>0</v>
          </cell>
          <cell r="I54">
            <v>0</v>
          </cell>
          <cell r="J54">
            <v>0</v>
          </cell>
        </row>
        <row r="55">
          <cell r="E55">
            <v>100000000</v>
          </cell>
          <cell r="F55">
            <v>170000000</v>
          </cell>
          <cell r="G55">
            <v>50000000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100000000</v>
          </cell>
          <cell r="F56">
            <v>170000000</v>
          </cell>
          <cell r="G56">
            <v>50000000</v>
          </cell>
          <cell r="H56">
            <v>60000000</v>
          </cell>
          <cell r="I56">
            <v>0</v>
          </cell>
          <cell r="J56">
            <v>0</v>
          </cell>
        </row>
        <row r="57">
          <cell r="E57">
            <v>100000000</v>
          </cell>
          <cell r="F57">
            <v>170000000</v>
          </cell>
          <cell r="G57">
            <v>50000000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100000000</v>
          </cell>
          <cell r="F58">
            <v>170000000</v>
          </cell>
          <cell r="G58">
            <v>50000000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100000000</v>
          </cell>
          <cell r="F59">
            <v>170000000</v>
          </cell>
          <cell r="G59">
            <v>50000000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100000000</v>
          </cell>
          <cell r="F60">
            <v>170000000</v>
          </cell>
          <cell r="G60">
            <v>50000000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100000000</v>
          </cell>
          <cell r="F61">
            <v>170000000</v>
          </cell>
          <cell r="G61">
            <v>50000000</v>
          </cell>
          <cell r="H61">
            <v>60000000</v>
          </cell>
          <cell r="I61">
            <v>0</v>
          </cell>
          <cell r="J61">
            <v>0</v>
          </cell>
        </row>
        <row r="62">
          <cell r="E62">
            <v>100000000</v>
          </cell>
          <cell r="F62">
            <v>170000000</v>
          </cell>
          <cell r="G62">
            <v>50000000</v>
          </cell>
          <cell r="H62">
            <v>0</v>
          </cell>
          <cell r="I62">
            <v>0</v>
          </cell>
          <cell r="J62">
            <v>0</v>
          </cell>
        </row>
        <row r="63">
          <cell r="E63">
            <v>100000000</v>
          </cell>
          <cell r="F63">
            <v>170000000</v>
          </cell>
          <cell r="G63">
            <v>50000000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100000000</v>
          </cell>
          <cell r="F64">
            <v>170000000</v>
          </cell>
          <cell r="G64">
            <v>50000000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100000000</v>
          </cell>
          <cell r="F65">
            <v>170000000</v>
          </cell>
          <cell r="G65">
            <v>50000000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100000000</v>
          </cell>
          <cell r="F66">
            <v>170000000</v>
          </cell>
          <cell r="G66">
            <v>50000000</v>
          </cell>
          <cell r="H66">
            <v>60000000</v>
          </cell>
          <cell r="I66">
            <v>0</v>
          </cell>
          <cell r="J66">
            <v>0</v>
          </cell>
        </row>
        <row r="67">
          <cell r="E67">
            <v>100000000</v>
          </cell>
          <cell r="F67">
            <v>170000000</v>
          </cell>
          <cell r="G67">
            <v>50000000</v>
          </cell>
          <cell r="H67">
            <v>0</v>
          </cell>
          <cell r="I67">
            <v>0</v>
          </cell>
          <cell r="J67">
            <v>0</v>
          </cell>
        </row>
        <row r="68">
          <cell r="E68">
            <v>100000000</v>
          </cell>
          <cell r="F68">
            <v>170000000</v>
          </cell>
          <cell r="G68">
            <v>50000000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100000000</v>
          </cell>
          <cell r="F69">
            <v>170000000</v>
          </cell>
          <cell r="G69">
            <v>50000000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100000000</v>
          </cell>
          <cell r="F70">
            <v>170000000</v>
          </cell>
          <cell r="G70">
            <v>50000000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100000000</v>
          </cell>
          <cell r="F71">
            <v>170000000</v>
          </cell>
          <cell r="G71">
            <v>50000000</v>
          </cell>
          <cell r="H71">
            <v>60000000</v>
          </cell>
          <cell r="I71">
            <v>0</v>
          </cell>
          <cell r="J71">
            <v>0</v>
          </cell>
        </row>
        <row r="72">
          <cell r="E72">
            <v>100000000</v>
          </cell>
          <cell r="F72">
            <v>170000000</v>
          </cell>
          <cell r="G72">
            <v>50000000</v>
          </cell>
          <cell r="H72">
            <v>0</v>
          </cell>
          <cell r="I72">
            <v>0</v>
          </cell>
          <cell r="J72">
            <v>0</v>
          </cell>
        </row>
        <row r="73">
          <cell r="E73">
            <v>100000000</v>
          </cell>
          <cell r="F73">
            <v>170000000</v>
          </cell>
          <cell r="G73">
            <v>50000000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100000000</v>
          </cell>
          <cell r="F74">
            <v>170000000</v>
          </cell>
          <cell r="G74">
            <v>50000000</v>
          </cell>
          <cell r="H74">
            <v>0</v>
          </cell>
          <cell r="I74">
            <v>0</v>
          </cell>
          <cell r="J74">
            <v>0</v>
          </cell>
        </row>
        <row r="75">
          <cell r="E75">
            <v>100000000</v>
          </cell>
          <cell r="F75">
            <v>170000000</v>
          </cell>
          <cell r="G75">
            <v>50000000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100000000</v>
          </cell>
          <cell r="F76">
            <v>170000000</v>
          </cell>
          <cell r="G76">
            <v>50000000</v>
          </cell>
          <cell r="H76">
            <v>60000000</v>
          </cell>
          <cell r="I76">
            <v>0</v>
          </cell>
          <cell r="J76">
            <v>0</v>
          </cell>
        </row>
        <row r="77">
          <cell r="E77">
            <v>100000000</v>
          </cell>
          <cell r="F77">
            <v>170000000</v>
          </cell>
          <cell r="G77">
            <v>50000000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100000000</v>
          </cell>
          <cell r="F78">
            <v>170000000</v>
          </cell>
          <cell r="G78">
            <v>50000000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100000000</v>
          </cell>
          <cell r="F79">
            <v>170000000</v>
          </cell>
          <cell r="G79">
            <v>50000000</v>
          </cell>
          <cell r="H79">
            <v>0</v>
          </cell>
          <cell r="I79">
            <v>0</v>
          </cell>
          <cell r="J79">
            <v>0</v>
          </cell>
        </row>
        <row r="80">
          <cell r="E80">
            <v>100000000</v>
          </cell>
          <cell r="F80">
            <v>170000000</v>
          </cell>
          <cell r="G80">
            <v>50000000</v>
          </cell>
          <cell r="H80">
            <v>0</v>
          </cell>
          <cell r="I80">
            <v>0</v>
          </cell>
          <cell r="J80">
            <v>0</v>
          </cell>
        </row>
      </sheetData>
      <sheetData sheetId="18" refreshError="1"/>
      <sheetData sheetId="19" refreshError="1"/>
      <sheetData sheetId="20">
        <row r="34">
          <cell r="B34">
            <v>886436733.50999999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1"/>
  <sheetViews>
    <sheetView zoomScaleNormal="100" workbookViewId="0">
      <pane xSplit="2" ySplit="9" topLeftCell="C58" activePane="bottomRight" state="frozen"/>
      <selection pane="topRight" activeCell="C1" sqref="C1"/>
      <selection pane="bottomLeft" activeCell="A10" sqref="A10"/>
      <selection pane="bottomRight" activeCell="E4" sqref="E4"/>
    </sheetView>
  </sheetViews>
  <sheetFormatPr defaultColWidth="0" defaultRowHeight="15.75" x14ac:dyDescent="0.25"/>
  <cols>
    <col min="1" max="1" width="9.140625" style="206" customWidth="1"/>
    <col min="2" max="3" width="9.140625" style="207" customWidth="1"/>
    <col min="4" max="4" width="12.28515625" style="208" customWidth="1"/>
    <col min="5" max="64" width="31.5703125" style="207" customWidth="1"/>
    <col min="65" max="65" width="31.5703125" style="209" customWidth="1"/>
    <col min="66" max="66" width="31.5703125" style="207" customWidth="1"/>
    <col min="67" max="67" width="31.5703125" style="210" customWidth="1"/>
    <col min="68" max="68" width="17.140625" style="44" customWidth="1"/>
    <col min="69" max="69" width="18.5703125" style="44" bestFit="1" customWidth="1"/>
    <col min="70" max="70" width="9.140625" style="172" customWidth="1"/>
    <col min="71" max="1025" width="9.140625" style="172" hidden="1" customWidth="1"/>
    <col min="1026" max="16384" width="9.140625" hidden="1"/>
  </cols>
  <sheetData>
    <row r="1" spans="1:1024" s="166" customFormat="1" ht="25.5" x14ac:dyDescent="0.35">
      <c r="A1" s="163" t="s">
        <v>134</v>
      </c>
      <c r="B1" s="164"/>
      <c r="C1" s="164"/>
      <c r="D1" s="165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</row>
    <row r="2" spans="1:1024" s="38" customFormat="1" ht="25.5" x14ac:dyDescent="0.35">
      <c r="A2" s="35"/>
      <c r="B2" s="36"/>
      <c r="C2" s="36"/>
      <c r="D2" s="37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1024" s="38" customFormat="1" ht="20.25" hidden="1" x14ac:dyDescent="0.3">
      <c r="A3" s="167" t="s">
        <v>82</v>
      </c>
      <c r="B3" s="168"/>
      <c r="C3" s="169"/>
      <c r="D3" s="169"/>
      <c r="E3" s="170">
        <v>0.06</v>
      </c>
      <c r="F3" s="36"/>
      <c r="G3" s="36"/>
      <c r="H3" s="36"/>
      <c r="I3" s="36"/>
      <c r="J3" s="36"/>
      <c r="K3" s="36"/>
      <c r="L3" s="36"/>
      <c r="M3" s="36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36"/>
      <c r="BK3" s="36"/>
      <c r="BL3" s="36"/>
      <c r="BM3" s="36"/>
      <c r="BN3" s="36"/>
      <c r="BO3" s="36"/>
      <c r="BP3" s="36"/>
      <c r="BQ3" s="36"/>
    </row>
    <row r="4" spans="1:1024" s="38" customFormat="1" ht="21" thickBot="1" x14ac:dyDescent="0.35">
      <c r="A4" s="222" t="s">
        <v>78</v>
      </c>
      <c r="B4" s="223"/>
      <c r="C4" s="223"/>
      <c r="D4" s="224"/>
      <c r="E4" s="39">
        <f>IFERROR(BQ160/BP160,"")</f>
        <v>14.585580910911562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</row>
    <row r="5" spans="1:1024" s="38" customFormat="1" ht="26.25" thickBot="1" x14ac:dyDescent="0.4">
      <c r="A5" s="35"/>
      <c r="B5" s="36"/>
      <c r="C5" s="36"/>
      <c r="D5" s="37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:1024" x14ac:dyDescent="0.25">
      <c r="A6" s="1" t="s">
        <v>0</v>
      </c>
      <c r="B6" s="2"/>
      <c r="C6" s="2"/>
      <c r="D6" s="3"/>
      <c r="E6" s="4"/>
      <c r="F6" s="5" t="s">
        <v>1</v>
      </c>
      <c r="G6" s="6"/>
      <c r="H6" s="6"/>
      <c r="I6" s="6"/>
      <c r="J6" s="6"/>
      <c r="K6" s="7"/>
      <c r="L6" s="8"/>
      <c r="M6" s="5" t="s">
        <v>2</v>
      </c>
      <c r="N6" s="2"/>
      <c r="O6" s="2"/>
      <c r="P6" s="2"/>
      <c r="Q6" s="2"/>
      <c r="R6" s="2"/>
      <c r="S6" s="2"/>
      <c r="T6" s="4"/>
      <c r="U6" s="5" t="s">
        <v>3</v>
      </c>
      <c r="V6" s="2"/>
      <c r="W6" s="2"/>
      <c r="X6" s="2"/>
      <c r="Y6" s="2"/>
      <c r="Z6" s="2"/>
      <c r="AA6" s="2"/>
      <c r="AB6" s="4"/>
      <c r="AC6" s="5" t="s">
        <v>4</v>
      </c>
      <c r="AD6" s="2"/>
      <c r="AE6" s="2"/>
      <c r="AF6" s="2"/>
      <c r="AG6" s="4"/>
      <c r="AH6" s="5" t="s">
        <v>5</v>
      </c>
      <c r="AI6" s="2"/>
      <c r="AJ6" s="2"/>
      <c r="AK6" s="2"/>
      <c r="AL6" s="2"/>
      <c r="AM6" s="4"/>
      <c r="AN6" s="1" t="s">
        <v>6</v>
      </c>
      <c r="AO6" s="2"/>
      <c r="AP6" s="2"/>
      <c r="AQ6" s="4"/>
      <c r="AR6" s="9" t="s">
        <v>7</v>
      </c>
      <c r="AS6" s="1" t="s">
        <v>8</v>
      </c>
      <c r="AT6" s="2"/>
      <c r="AU6" s="2"/>
      <c r="AV6" s="2"/>
      <c r="AW6" s="2"/>
      <c r="AX6" s="2"/>
      <c r="AY6" s="4"/>
      <c r="AZ6" s="1" t="s">
        <v>9</v>
      </c>
      <c r="BA6" s="10"/>
      <c r="BB6" s="10"/>
      <c r="BC6" s="10"/>
      <c r="BD6" s="10"/>
      <c r="BE6" s="10"/>
      <c r="BF6" s="10"/>
      <c r="BG6" s="10"/>
      <c r="BH6" s="10"/>
      <c r="BI6" s="11"/>
      <c r="BJ6" s="12" t="s">
        <v>7</v>
      </c>
      <c r="BK6" s="1" t="s">
        <v>10</v>
      </c>
      <c r="BL6" s="13"/>
      <c r="BM6" s="14"/>
      <c r="BN6" s="13"/>
      <c r="BO6" s="15"/>
      <c r="BP6" s="12" t="s">
        <v>81</v>
      </c>
      <c r="BQ6" s="12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73" customFormat="1" x14ac:dyDescent="0.25">
      <c r="A7" s="16">
        <v>100101</v>
      </c>
      <c r="B7" s="32">
        <v>100201</v>
      </c>
      <c r="C7" s="17">
        <v>100301</v>
      </c>
      <c r="D7" s="21">
        <v>100401</v>
      </c>
      <c r="E7" s="17">
        <v>109001</v>
      </c>
      <c r="F7" s="21">
        <v>111000</v>
      </c>
      <c r="G7" s="17">
        <v>111101</v>
      </c>
      <c r="H7" s="17">
        <v>111201</v>
      </c>
      <c r="I7" s="17">
        <v>111301</v>
      </c>
      <c r="J7" s="17">
        <v>111401</v>
      </c>
      <c r="K7" s="17">
        <v>112000</v>
      </c>
      <c r="L7" s="17">
        <v>119900</v>
      </c>
      <c r="M7" s="21">
        <v>121000</v>
      </c>
      <c r="N7" s="17">
        <v>121100</v>
      </c>
      <c r="O7" s="17">
        <v>121200</v>
      </c>
      <c r="P7" s="17">
        <v>121300</v>
      </c>
      <c r="Q7" s="17">
        <v>121400</v>
      </c>
      <c r="R7" s="17">
        <v>121500</v>
      </c>
      <c r="S7" s="17">
        <v>121600</v>
      </c>
      <c r="T7" s="17">
        <v>121700</v>
      </c>
      <c r="U7" s="21">
        <v>122000</v>
      </c>
      <c r="V7" s="17">
        <v>122100</v>
      </c>
      <c r="W7" s="17">
        <v>122200</v>
      </c>
      <c r="X7" s="17">
        <v>122300</v>
      </c>
      <c r="Y7" s="17">
        <v>122400</v>
      </c>
      <c r="Z7" s="17">
        <v>122500</v>
      </c>
      <c r="AA7" s="17">
        <v>122600</v>
      </c>
      <c r="AB7" s="17">
        <v>122700</v>
      </c>
      <c r="AC7" s="21">
        <v>123000</v>
      </c>
      <c r="AD7" s="17">
        <v>123100</v>
      </c>
      <c r="AE7" s="17">
        <v>123200</v>
      </c>
      <c r="AF7" s="17">
        <v>123300</v>
      </c>
      <c r="AG7" s="17">
        <v>123400</v>
      </c>
      <c r="AH7" s="21">
        <v>124000</v>
      </c>
      <c r="AI7" s="17">
        <v>124100</v>
      </c>
      <c r="AJ7" s="17">
        <v>124200</v>
      </c>
      <c r="AK7" s="17">
        <v>124300</v>
      </c>
      <c r="AL7" s="17">
        <v>124400</v>
      </c>
      <c r="AM7" s="17">
        <v>124500</v>
      </c>
      <c r="AN7" s="18">
        <v>129000</v>
      </c>
      <c r="AO7" s="18">
        <v>130101</v>
      </c>
      <c r="AP7" s="17">
        <v>130201</v>
      </c>
      <c r="AQ7" s="17">
        <v>139901</v>
      </c>
      <c r="AR7" s="21">
        <v>190000</v>
      </c>
      <c r="AS7" s="21">
        <v>210000</v>
      </c>
      <c r="AT7" s="17">
        <v>211001</v>
      </c>
      <c r="AU7" s="17">
        <v>212001</v>
      </c>
      <c r="AV7" s="17">
        <v>213001</v>
      </c>
      <c r="AW7" s="17">
        <v>214001</v>
      </c>
      <c r="AX7" s="17">
        <v>215001</v>
      </c>
      <c r="AY7" s="17">
        <v>219901</v>
      </c>
      <c r="AZ7" s="21">
        <v>220000</v>
      </c>
      <c r="BA7" s="18">
        <v>221000</v>
      </c>
      <c r="BB7" s="18">
        <v>222000</v>
      </c>
      <c r="BC7" s="18">
        <v>223000</v>
      </c>
      <c r="BD7" s="18">
        <v>224000</v>
      </c>
      <c r="BE7" s="18">
        <v>225000</v>
      </c>
      <c r="BF7" s="18">
        <v>226000</v>
      </c>
      <c r="BG7" s="18">
        <v>227000</v>
      </c>
      <c r="BH7" s="18">
        <v>229000</v>
      </c>
      <c r="BI7" s="18">
        <v>239901</v>
      </c>
      <c r="BJ7" s="19">
        <v>240000</v>
      </c>
      <c r="BK7" s="19">
        <v>250001</v>
      </c>
      <c r="BL7" s="19">
        <v>260001</v>
      </c>
      <c r="BM7" s="20">
        <v>270001</v>
      </c>
      <c r="BN7" s="21">
        <v>280001</v>
      </c>
      <c r="BO7" s="21">
        <v>290001</v>
      </c>
      <c r="BP7" s="19">
        <v>310000</v>
      </c>
      <c r="BQ7" s="19">
        <v>320000</v>
      </c>
    </row>
    <row r="8" spans="1:1024" s="175" customFormat="1" ht="165" customHeight="1" x14ac:dyDescent="0.2">
      <c r="A8" s="22" t="s">
        <v>11</v>
      </c>
      <c r="B8" s="33" t="s">
        <v>12</v>
      </c>
      <c r="C8" s="25" t="s">
        <v>13</v>
      </c>
      <c r="D8" s="23" t="s">
        <v>14</v>
      </c>
      <c r="E8" s="25" t="s">
        <v>15</v>
      </c>
      <c r="F8" s="26" t="s">
        <v>16</v>
      </c>
      <c r="G8" s="24" t="s">
        <v>17</v>
      </c>
      <c r="H8" s="24" t="s">
        <v>18</v>
      </c>
      <c r="I8" s="24" t="s">
        <v>19</v>
      </c>
      <c r="J8" s="24" t="s">
        <v>20</v>
      </c>
      <c r="K8" s="25" t="s">
        <v>21</v>
      </c>
      <c r="L8" s="24" t="s">
        <v>22</v>
      </c>
      <c r="M8" s="26" t="s">
        <v>23</v>
      </c>
      <c r="N8" s="24" t="s">
        <v>24</v>
      </c>
      <c r="O8" s="24" t="s">
        <v>25</v>
      </c>
      <c r="P8" s="24" t="s">
        <v>26</v>
      </c>
      <c r="Q8" s="24" t="s">
        <v>27</v>
      </c>
      <c r="R8" s="24" t="s">
        <v>28</v>
      </c>
      <c r="S8" s="24" t="s">
        <v>29</v>
      </c>
      <c r="T8" s="24" t="s">
        <v>30</v>
      </c>
      <c r="U8" s="26" t="s">
        <v>31</v>
      </c>
      <c r="V8" s="24" t="s">
        <v>32</v>
      </c>
      <c r="W8" s="24" t="s">
        <v>33</v>
      </c>
      <c r="X8" s="24" t="s">
        <v>34</v>
      </c>
      <c r="Y8" s="24" t="s">
        <v>35</v>
      </c>
      <c r="Z8" s="24" t="s">
        <v>36</v>
      </c>
      <c r="AA8" s="24" t="s">
        <v>37</v>
      </c>
      <c r="AB8" s="24" t="s">
        <v>38</v>
      </c>
      <c r="AC8" s="26" t="s">
        <v>39</v>
      </c>
      <c r="AD8" s="24" t="s">
        <v>40</v>
      </c>
      <c r="AE8" s="24" t="s">
        <v>41</v>
      </c>
      <c r="AF8" s="24" t="s">
        <v>42</v>
      </c>
      <c r="AG8" s="24" t="s">
        <v>43</v>
      </c>
      <c r="AH8" s="26" t="s">
        <v>44</v>
      </c>
      <c r="AI8" s="24" t="s">
        <v>45</v>
      </c>
      <c r="AJ8" s="24" t="s">
        <v>46</v>
      </c>
      <c r="AK8" s="24" t="s">
        <v>47</v>
      </c>
      <c r="AL8" s="24" t="s">
        <v>48</v>
      </c>
      <c r="AM8" s="24" t="s">
        <v>49</v>
      </c>
      <c r="AN8" s="25" t="s">
        <v>50</v>
      </c>
      <c r="AO8" s="24" t="s">
        <v>51</v>
      </c>
      <c r="AP8" s="24" t="s">
        <v>52</v>
      </c>
      <c r="AQ8" s="24" t="s">
        <v>53</v>
      </c>
      <c r="AR8" s="26" t="s">
        <v>54</v>
      </c>
      <c r="AS8" s="26" t="s">
        <v>55</v>
      </c>
      <c r="AT8" s="24" t="s">
        <v>56</v>
      </c>
      <c r="AU8" s="24" t="s">
        <v>57</v>
      </c>
      <c r="AV8" s="24" t="s">
        <v>58</v>
      </c>
      <c r="AW8" s="24" t="s">
        <v>59</v>
      </c>
      <c r="AX8" s="24" t="s">
        <v>60</v>
      </c>
      <c r="AY8" s="24" t="s">
        <v>61</v>
      </c>
      <c r="AZ8" s="26" t="s">
        <v>62</v>
      </c>
      <c r="BA8" s="25" t="s">
        <v>63</v>
      </c>
      <c r="BB8" s="25" t="s">
        <v>64</v>
      </c>
      <c r="BC8" s="25" t="s">
        <v>65</v>
      </c>
      <c r="BD8" s="25" t="s">
        <v>66</v>
      </c>
      <c r="BE8" s="25" t="s">
        <v>67</v>
      </c>
      <c r="BF8" s="25" t="s">
        <v>68</v>
      </c>
      <c r="BG8" s="25" t="s">
        <v>69</v>
      </c>
      <c r="BH8" s="25" t="s">
        <v>70</v>
      </c>
      <c r="BI8" s="24" t="s">
        <v>71</v>
      </c>
      <c r="BJ8" s="26" t="s">
        <v>72</v>
      </c>
      <c r="BK8" s="26" t="s">
        <v>73</v>
      </c>
      <c r="BL8" s="27" t="s">
        <v>74</v>
      </c>
      <c r="BM8" s="26" t="s">
        <v>75</v>
      </c>
      <c r="BN8" s="26" t="s">
        <v>135</v>
      </c>
      <c r="BO8" s="174" t="s">
        <v>136</v>
      </c>
      <c r="BP8" s="26" t="s">
        <v>79</v>
      </c>
      <c r="BQ8" s="26" t="s">
        <v>80</v>
      </c>
    </row>
    <row r="9" spans="1:1024" x14ac:dyDescent="0.25">
      <c r="A9" s="176"/>
      <c r="B9" s="177"/>
      <c r="C9" s="177"/>
      <c r="D9" s="178"/>
      <c r="E9" s="179"/>
      <c r="F9" s="179"/>
      <c r="G9" s="179"/>
      <c r="H9" s="179"/>
      <c r="I9" s="179"/>
      <c r="J9" s="179"/>
      <c r="K9" s="180"/>
      <c r="L9" s="180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0"/>
      <c r="AO9" s="180"/>
      <c r="AP9" s="180"/>
      <c r="AQ9" s="180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1"/>
      <c r="BN9" s="179"/>
      <c r="BO9" s="28">
        <f>[1]Tabela4_GerAtu!$B$34</f>
        <v>886436733.50999999</v>
      </c>
      <c r="BP9" s="40"/>
      <c r="BQ9" s="40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182">
        <v>1</v>
      </c>
      <c r="B10" s="34">
        <v>2020</v>
      </c>
      <c r="C10" s="29">
        <v>4.3</v>
      </c>
      <c r="D10" s="183">
        <f>ROUND(IF(A10=0,1,(1+C10/100)^-1),5)</f>
        <v>0.95877000000000001</v>
      </c>
      <c r="E10" s="29">
        <f>[1]ResumoGeracaoAtual_BAC!B6</f>
        <v>360568637.57291549</v>
      </c>
      <c r="F10" s="183">
        <f t="shared" ref="F10:F41" si="0">ROUND(SUM(G10:J10),5)</f>
        <v>29192238.676759999</v>
      </c>
      <c r="G10" s="29">
        <f>[1]ResumoGeracaoAtual_BC!F6</f>
        <v>29192238.676760539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83">
        <f t="shared" ref="M10:M73" si="1">ROUND(SUM(N10:T10),5)</f>
        <v>108170596.06777</v>
      </c>
      <c r="N10" s="29">
        <f>[1]ResumoGeracaoAtual_BAC!C6</f>
        <v>108170596.06776604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183">
        <f t="shared" ref="U10:U73" si="2">ROUND(SUM(V10:AB10),5)</f>
        <v>50479609.395829998</v>
      </c>
      <c r="V10" s="29">
        <f>[1]ResumoGeracaoAtual_BAC!E6</f>
        <v>50479609.395827048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183">
        <f t="shared" ref="AC10:AC73" si="3">ROUND(SUM(AD10:AG10),5)</f>
        <v>14539.247960000001</v>
      </c>
      <c r="AD10" s="29">
        <f>[1]ResumoGeracaoAtual_BAC!AS6</f>
        <v>14539.247963887765</v>
      </c>
      <c r="AE10" s="29">
        <v>0</v>
      </c>
      <c r="AF10" s="29">
        <v>0</v>
      </c>
      <c r="AG10" s="29">
        <v>0</v>
      </c>
      <c r="AH10" s="183">
        <f t="shared" ref="AH10:AH73" si="4">ROUND(SUM(AI10:AM10),5)</f>
        <v>715148.37713000004</v>
      </c>
      <c r="AI10" s="29">
        <f>[1]ResumoGeracaoAtual_BAC!AT6</f>
        <v>715148.37713159958</v>
      </c>
      <c r="AJ10" s="29">
        <v>0</v>
      </c>
      <c r="AK10" s="29">
        <v>0</v>
      </c>
      <c r="AL10" s="29">
        <v>0</v>
      </c>
      <c r="AM10" s="29">
        <v>0</v>
      </c>
      <c r="AN10" s="29">
        <f>[1]ResumoGeracaoAtual_BAC!Q6</f>
        <v>0</v>
      </c>
      <c r="AO10" s="29">
        <v>0</v>
      </c>
      <c r="AP10" s="29">
        <v>0</v>
      </c>
      <c r="AQ10" s="29">
        <f>SUM([1]ProjecoesAtuariais_Resumo!E6:J6)</f>
        <v>385424207.07999998</v>
      </c>
      <c r="AR10" s="183">
        <f t="shared" ref="AR10:AR73" si="5">ROUND(F10+K10+L10+M10+U10+AC10+AH10+AN10+AO10+AP10+AQ10,5)</f>
        <v>573996338.84545004</v>
      </c>
      <c r="AS10" s="183">
        <f t="shared" ref="AS10:AS73" si="6">ROUND(SUM(AT10:AY10),5)</f>
        <v>614168276.17676997</v>
      </c>
      <c r="AT10" s="29">
        <f>[1]ResumoGeracaoAtual_BC!B6</f>
        <v>498109450.14194983</v>
      </c>
      <c r="AU10" s="29">
        <v>0</v>
      </c>
      <c r="AV10" s="29">
        <v>0</v>
      </c>
      <c r="AW10" s="29">
        <v>0</v>
      </c>
      <c r="AX10" s="29">
        <f>[1]ResumoGeracaoAtual_BC!C6</f>
        <v>116058826.03481652</v>
      </c>
      <c r="AY10" s="29">
        <v>0</v>
      </c>
      <c r="AZ10" s="183">
        <f t="shared" ref="AZ10:AZ73" si="7">ROUND(SUM(BA10:BI10),5)</f>
        <v>21833685.361900002</v>
      </c>
      <c r="BA10" s="29">
        <f>[1]ResumoGeracaoAtual_BAC!G6</f>
        <v>944406.53731240251</v>
      </c>
      <c r="BB10" s="29">
        <v>0</v>
      </c>
      <c r="BC10" s="29">
        <v>0</v>
      </c>
      <c r="BD10" s="29">
        <v>0</v>
      </c>
      <c r="BE10" s="29">
        <v>0</v>
      </c>
      <c r="BF10" s="29">
        <f>[1]ResumoGeracaoAtual_BAC!H6</f>
        <v>1348678.8420094973</v>
      </c>
      <c r="BG10" s="29">
        <v>0</v>
      </c>
      <c r="BH10" s="29">
        <v>0</v>
      </c>
      <c r="BI10" s="29">
        <f>[1]ResumoGeracaoAtual_BAC!AX6</f>
        <v>19540599.982580077</v>
      </c>
      <c r="BJ10" s="183">
        <f t="shared" ref="BJ10:BJ73" si="8">ROUND(AS10+AZ10,5)</f>
        <v>636001961.53866994</v>
      </c>
      <c r="BK10" s="183">
        <f t="shared" ref="BK10:BK73" si="9">ROUND(AR10-BJ10,5)</f>
        <v>-62005622.693219997</v>
      </c>
      <c r="BL10" s="183">
        <f>$BO$9+SUMPRODUCT($D$10:D10,$BK$10:BK10)</f>
        <v>826987602.64042139</v>
      </c>
      <c r="BM10" s="30">
        <f t="shared" ref="BM10:BM73" si="10">ROUND(C10,5)</f>
        <v>4.3</v>
      </c>
      <c r="BN10" s="183">
        <f>IF($A$10=0,IF(BO9+BK10&lt;0,0,ROUND(BM10/100*(BO9+BK10),5)),ROUND(BM10/100*BO9,5))</f>
        <v>38116779.540930003</v>
      </c>
      <c r="BO10" s="184">
        <f t="shared" ref="BO10:BO73" si="11">IF(BO9+BK10+BN10&gt;0,ROUND(BO9+BK10+BN10,5),0)</f>
        <v>862547890.35771</v>
      </c>
      <c r="BP10" s="41">
        <f>(1/((1+$C10/100)^($A10-0.5)))*(AS10+AZ10-AY10-BH10-F10-AC10-AH10)</f>
        <v>593455042.08223987</v>
      </c>
      <c r="BQ10" s="41">
        <f>$BP10*($A10-0.5)</f>
        <v>296727521.04111993</v>
      </c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185">
        <f t="shared" ref="A11:B26" si="12">A10+1</f>
        <v>2</v>
      </c>
      <c r="B11" s="186">
        <f t="shared" si="12"/>
        <v>2021</v>
      </c>
      <c r="C11" s="29">
        <v>4.3</v>
      </c>
      <c r="D11" s="183">
        <f>ROUND((1+C11/100)^-1*D10,5)</f>
        <v>0.91923999999999995</v>
      </c>
      <c r="E11" s="29">
        <f>[1]ResumoGeracaoAtual_BAC!B7</f>
        <v>362757278.09322196</v>
      </c>
      <c r="F11" s="183">
        <f t="shared" si="0"/>
        <v>28308229.912129998</v>
      </c>
      <c r="G11" s="29">
        <f>[1]ResumoGeracaoAtual_BC!F7</f>
        <v>28308229.912128903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83">
        <f t="shared" si="1"/>
        <v>108827188.00204</v>
      </c>
      <c r="N11" s="29">
        <f>[1]ResumoGeracaoAtual_BAC!C7</f>
        <v>108827188.00204107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183">
        <f t="shared" si="2"/>
        <v>50786019.164460003</v>
      </c>
      <c r="V11" s="29">
        <f>[1]ResumoGeracaoAtual_BAC!E7</f>
        <v>50786019.164461777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183">
        <f t="shared" si="3"/>
        <v>23239.352920000001</v>
      </c>
      <c r="AD11" s="29">
        <f>[1]ResumoGeracaoAtual_BAC!AS7</f>
        <v>23239.352921848618</v>
      </c>
      <c r="AE11" s="29">
        <v>0</v>
      </c>
      <c r="AF11" s="29">
        <v>0</v>
      </c>
      <c r="AG11" s="29">
        <v>0</v>
      </c>
      <c r="AH11" s="183">
        <f t="shared" si="4"/>
        <v>1046248.54497</v>
      </c>
      <c r="AI11" s="29">
        <f>[1]ResumoGeracaoAtual_BAC!AT7</f>
        <v>1046248.5449738924</v>
      </c>
      <c r="AJ11" s="29">
        <v>0</v>
      </c>
      <c r="AK11" s="29">
        <v>0</v>
      </c>
      <c r="AL11" s="29">
        <v>0</v>
      </c>
      <c r="AM11" s="29">
        <v>0</v>
      </c>
      <c r="AN11" s="29">
        <f>[1]ResumoGeracaoAtual_BAC!Q7</f>
        <v>0</v>
      </c>
      <c r="AO11" s="29">
        <v>0</v>
      </c>
      <c r="AP11" s="29">
        <v>0</v>
      </c>
      <c r="AQ11" s="29">
        <f>SUM([1]ProjecoesAtuariais_Resumo!E7:J7)</f>
        <v>335424207.07999998</v>
      </c>
      <c r="AR11" s="183">
        <f t="shared" si="5"/>
        <v>524415132.05651999</v>
      </c>
      <c r="AS11" s="183">
        <f t="shared" si="6"/>
        <v>604688572.40019</v>
      </c>
      <c r="AT11" s="29">
        <f>[1]ResumoGeracaoAtual_BC!B7</f>
        <v>484692066.41198575</v>
      </c>
      <c r="AU11" s="29">
        <v>0</v>
      </c>
      <c r="AV11" s="29">
        <v>0</v>
      </c>
      <c r="AW11" s="29">
        <v>0</v>
      </c>
      <c r="AX11" s="29">
        <f>[1]ResumoGeracaoAtual_BC!C7</f>
        <v>119996505.9882085</v>
      </c>
      <c r="AY11" s="29">
        <v>0</v>
      </c>
      <c r="AZ11" s="183">
        <f t="shared" si="7"/>
        <v>22985395.475469999</v>
      </c>
      <c r="BA11" s="29">
        <f>[1]ResumoGeracaoAtual_BAC!G7</f>
        <v>1477344.0071067028</v>
      </c>
      <c r="BB11" s="29">
        <v>0</v>
      </c>
      <c r="BC11" s="29">
        <v>0</v>
      </c>
      <c r="BD11" s="29">
        <v>0</v>
      </c>
      <c r="BE11" s="29">
        <v>0</v>
      </c>
      <c r="BF11" s="29">
        <f>[1]ResumoGeracaoAtual_BAC!H7</f>
        <v>2087830.9591705189</v>
      </c>
      <c r="BG11" s="29">
        <v>0</v>
      </c>
      <c r="BH11" s="29">
        <v>0</v>
      </c>
      <c r="BI11" s="29">
        <f>[1]ResumoGeracaoAtual_BAC!AX7</f>
        <v>19420220.509193867</v>
      </c>
      <c r="BJ11" s="183">
        <f t="shared" si="8"/>
        <v>627673967.87565994</v>
      </c>
      <c r="BK11" s="183">
        <f t="shared" si="9"/>
        <v>-103258835.81914</v>
      </c>
      <c r="BL11" s="183">
        <f>$BO$9+SUMPRODUCT($D$10:D11,$BK$10:BK11)</f>
        <v>732067950.40203524</v>
      </c>
      <c r="BM11" s="30">
        <f t="shared" si="10"/>
        <v>4.3</v>
      </c>
      <c r="BN11" s="183">
        <f t="shared" ref="BN11:BN74" si="13">IF($A$10=0,IF(BO10+BK11&lt;0,0,ROUND(BM11/100*(BO10+BK11),5)),ROUND(BM11/100*BO10,5))</f>
        <v>37089559.285379998</v>
      </c>
      <c r="BO11" s="184">
        <f t="shared" si="11"/>
        <v>796378613.82395005</v>
      </c>
      <c r="BP11" s="41">
        <f t="shared" ref="BP11:BP74" si="14">(1/((1+$C11/100)^($A11-0.5)))*(AS11+AZ11-AY11-BH11-F11-AC11-AH11)</f>
        <v>561681109.87541759</v>
      </c>
      <c r="BQ11" s="41">
        <f t="shared" ref="BQ11:BQ74" si="15">$BP11*($A11-0.5)</f>
        <v>842521664.81312633</v>
      </c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185">
        <f t="shared" si="12"/>
        <v>3</v>
      </c>
      <c r="B12" s="186">
        <f t="shared" si="12"/>
        <v>2022</v>
      </c>
      <c r="C12" s="29">
        <v>4.3</v>
      </c>
      <c r="D12" s="183">
        <f t="shared" ref="D12:D75" si="16">ROUND((1+C12/100)^-1*D11,5)</f>
        <v>0.88134000000000001</v>
      </c>
      <c r="E12" s="29">
        <f>[1]ResumoGeracaoAtual_BAC!B8</f>
        <v>364852729.3275907</v>
      </c>
      <c r="F12" s="183">
        <f t="shared" si="0"/>
        <v>27398758.550930001</v>
      </c>
      <c r="G12" s="29">
        <f>[1]ResumoGeracaoAtual_BC!F8</f>
        <v>27398758.550928421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83">
        <f t="shared" si="1"/>
        <v>109455823.25737</v>
      </c>
      <c r="N12" s="29">
        <f>[1]ResumoGeracaoAtual_BAC!C8</f>
        <v>109455823.25737441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183">
        <f t="shared" si="2"/>
        <v>51079382.370420001</v>
      </c>
      <c r="V12" s="29">
        <f>[1]ResumoGeracaoAtual_BAC!E8</f>
        <v>51079382.37041942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183">
        <f t="shared" si="3"/>
        <v>33070.501170000003</v>
      </c>
      <c r="AD12" s="29">
        <f>[1]ResumoGeracaoAtual_BAC!AS8</f>
        <v>33070.501169059018</v>
      </c>
      <c r="AE12" s="29">
        <v>0</v>
      </c>
      <c r="AF12" s="29">
        <v>0</v>
      </c>
      <c r="AG12" s="29">
        <v>0</v>
      </c>
      <c r="AH12" s="183">
        <f t="shared" si="4"/>
        <v>1358019.6431700001</v>
      </c>
      <c r="AI12" s="29">
        <f>[1]ResumoGeracaoAtual_BAC!AT8</f>
        <v>1358019.6431695181</v>
      </c>
      <c r="AJ12" s="29">
        <v>0</v>
      </c>
      <c r="AK12" s="29">
        <v>0</v>
      </c>
      <c r="AL12" s="29">
        <v>0</v>
      </c>
      <c r="AM12" s="29">
        <v>0</v>
      </c>
      <c r="AN12" s="29">
        <f>[1]ResumoGeracaoAtual_BAC!Q8</f>
        <v>0</v>
      </c>
      <c r="AO12" s="29">
        <v>0</v>
      </c>
      <c r="AP12" s="29">
        <v>0</v>
      </c>
      <c r="AQ12" s="29">
        <f>SUM([1]ProjecoesAtuariais_Resumo!E8:J8)</f>
        <v>335424207.07999998</v>
      </c>
      <c r="AR12" s="183">
        <f t="shared" si="5"/>
        <v>524749261.40306002</v>
      </c>
      <c r="AS12" s="183">
        <f t="shared" si="6"/>
        <v>594172794.01440001</v>
      </c>
      <c r="AT12" s="29">
        <f>[1]ResumoGeracaoAtual_BC!B8</f>
        <v>470726340.9715547</v>
      </c>
      <c r="AU12" s="29">
        <v>0</v>
      </c>
      <c r="AV12" s="29">
        <v>0</v>
      </c>
      <c r="AW12" s="29">
        <v>0</v>
      </c>
      <c r="AX12" s="29">
        <f>[1]ResumoGeracaoAtual_BC!C8</f>
        <v>123446453.04284884</v>
      </c>
      <c r="AY12" s="29">
        <v>0</v>
      </c>
      <c r="AZ12" s="183">
        <f t="shared" si="7"/>
        <v>24208369.160999998</v>
      </c>
      <c r="BA12" s="29">
        <f>[1]ResumoGeracaoAtual_BAC!G8</f>
        <v>2057289.5632590014</v>
      </c>
      <c r="BB12" s="29">
        <v>0</v>
      </c>
      <c r="BC12" s="29">
        <v>0</v>
      </c>
      <c r="BD12" s="29">
        <v>0</v>
      </c>
      <c r="BE12" s="29">
        <v>0</v>
      </c>
      <c r="BF12" s="29">
        <f>[1]ResumoGeracaoAtual_BAC!H8</f>
        <v>2871983.6663101087</v>
      </c>
      <c r="BG12" s="29">
        <v>0</v>
      </c>
      <c r="BH12" s="29">
        <v>0</v>
      </c>
      <c r="BI12" s="29">
        <f>[1]ResumoGeracaoAtual_BAC!AX8</f>
        <v>19279095.931431271</v>
      </c>
      <c r="BJ12" s="183">
        <f t="shared" si="8"/>
        <v>618381163.17540002</v>
      </c>
      <c r="BK12" s="183">
        <f t="shared" si="9"/>
        <v>-93631901.77234</v>
      </c>
      <c r="BL12" s="183">
        <f>$BO$9+SUMPRODUCT($D$10:D12,$BK$10:BK12)</f>
        <v>649546410.09400105</v>
      </c>
      <c r="BM12" s="30">
        <f t="shared" si="10"/>
        <v>4.3</v>
      </c>
      <c r="BN12" s="183">
        <f t="shared" si="13"/>
        <v>34244280.394429997</v>
      </c>
      <c r="BO12" s="184">
        <f t="shared" si="11"/>
        <v>736990992.44604003</v>
      </c>
      <c r="BP12" s="41">
        <f t="shared" si="14"/>
        <v>530689269.18403304</v>
      </c>
      <c r="BQ12" s="41">
        <f t="shared" si="15"/>
        <v>1326723172.9600825</v>
      </c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185">
        <f t="shared" si="12"/>
        <v>4</v>
      </c>
      <c r="B13" s="186">
        <f t="shared" si="12"/>
        <v>2023</v>
      </c>
      <c r="C13" s="29">
        <v>4.3</v>
      </c>
      <c r="D13" s="183">
        <f t="shared" si="16"/>
        <v>0.84499999999999997</v>
      </c>
      <c r="E13" s="29">
        <f>[1]ResumoGeracaoAtual_BAC!B9</f>
        <v>366842215.9400906</v>
      </c>
      <c r="F13" s="183">
        <f t="shared" si="0"/>
        <v>26465304.54183</v>
      </c>
      <c r="G13" s="29">
        <f>[1]ResumoGeracaoAtual_BC!F9</f>
        <v>26465304.541834358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83">
        <f t="shared" si="1"/>
        <v>110052669.04345</v>
      </c>
      <c r="N13" s="29">
        <f>[1]ResumoGeracaoAtual_BAC!C9</f>
        <v>110052669.04345353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183">
        <f t="shared" si="2"/>
        <v>51357910.304760002</v>
      </c>
      <c r="V13" s="29">
        <f>[1]ResumoGeracaoAtual_BAC!E9</f>
        <v>51357910.304757491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183">
        <f t="shared" si="3"/>
        <v>44198.100100000003</v>
      </c>
      <c r="AD13" s="29">
        <f>[1]ResumoGeracaoAtual_BAC!AS9</f>
        <v>44198.10009763678</v>
      </c>
      <c r="AE13" s="29">
        <v>0</v>
      </c>
      <c r="AF13" s="29">
        <v>0</v>
      </c>
      <c r="AG13" s="29">
        <v>0</v>
      </c>
      <c r="AH13" s="183">
        <f t="shared" si="4"/>
        <v>1649346.8989500001</v>
      </c>
      <c r="AI13" s="29">
        <f>[1]ResumoGeracaoAtual_BAC!AT9</f>
        <v>1649346.8989455649</v>
      </c>
      <c r="AJ13" s="29">
        <v>0</v>
      </c>
      <c r="AK13" s="29">
        <v>0</v>
      </c>
      <c r="AL13" s="29">
        <v>0</v>
      </c>
      <c r="AM13" s="29">
        <v>0</v>
      </c>
      <c r="AN13" s="29">
        <f>[1]ResumoGeracaoAtual_BAC!Q9</f>
        <v>0</v>
      </c>
      <c r="AO13" s="29">
        <v>0</v>
      </c>
      <c r="AP13" s="29">
        <v>0</v>
      </c>
      <c r="AQ13" s="29">
        <f>SUM([1]ProjecoesAtuariais_Resumo!E9:J9)</f>
        <v>335424207.07999998</v>
      </c>
      <c r="AR13" s="183">
        <f t="shared" si="5"/>
        <v>524993635.96908998</v>
      </c>
      <c r="AS13" s="183">
        <f t="shared" si="6"/>
        <v>582612790.34686005</v>
      </c>
      <c r="AT13" s="29">
        <f>[1]ResumoGeracaoAtual_BC!B9</f>
        <v>456224936.50910562</v>
      </c>
      <c r="AU13" s="29">
        <v>0</v>
      </c>
      <c r="AV13" s="29">
        <v>0</v>
      </c>
      <c r="AW13" s="29">
        <v>0</v>
      </c>
      <c r="AX13" s="29">
        <f>[1]ResumoGeracaoAtual_BC!C9</f>
        <v>126387853.83775502</v>
      </c>
      <c r="AY13" s="29">
        <v>0</v>
      </c>
      <c r="AZ13" s="183">
        <f t="shared" si="7"/>
        <v>25510003.35193</v>
      </c>
      <c r="BA13" s="29">
        <f>[1]ResumoGeracaoAtual_BAC!G9</f>
        <v>2689715.9186156797</v>
      </c>
      <c r="BB13" s="29">
        <v>0</v>
      </c>
      <c r="BC13" s="29">
        <v>0</v>
      </c>
      <c r="BD13" s="29">
        <v>0</v>
      </c>
      <c r="BE13" s="29">
        <v>0</v>
      </c>
      <c r="BF13" s="29">
        <f>[1]ResumoGeracaoAtual_BAC!H9</f>
        <v>3703326.4600008931</v>
      </c>
      <c r="BG13" s="29">
        <v>0</v>
      </c>
      <c r="BH13" s="29">
        <v>0</v>
      </c>
      <c r="BI13" s="29">
        <f>[1]ResumoGeracaoAtual_BAC!AX9</f>
        <v>19116960.973311357</v>
      </c>
      <c r="BJ13" s="183">
        <f t="shared" si="8"/>
        <v>608122793.69878995</v>
      </c>
      <c r="BK13" s="183">
        <f t="shared" si="9"/>
        <v>-83129157.729699999</v>
      </c>
      <c r="BL13" s="183">
        <f>$BO$9+SUMPRODUCT($D$10:D13,$BK$10:BK13)</f>
        <v>579302271.81240463</v>
      </c>
      <c r="BM13" s="30">
        <f t="shared" si="10"/>
        <v>4.3</v>
      </c>
      <c r="BN13" s="183">
        <f t="shared" si="13"/>
        <v>31690612.675179999</v>
      </c>
      <c r="BO13" s="184">
        <f t="shared" si="11"/>
        <v>685552447.39152002</v>
      </c>
      <c r="BP13" s="41">
        <f t="shared" si="14"/>
        <v>500502112.88655347</v>
      </c>
      <c r="BQ13" s="41">
        <f t="shared" si="15"/>
        <v>1751757395.1029372</v>
      </c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185">
        <f t="shared" si="12"/>
        <v>5</v>
      </c>
      <c r="B14" s="186">
        <f t="shared" si="12"/>
        <v>2024</v>
      </c>
      <c r="C14" s="29">
        <v>4.3</v>
      </c>
      <c r="D14" s="183">
        <f t="shared" si="16"/>
        <v>0.81015999999999999</v>
      </c>
      <c r="E14" s="29">
        <f>[1]ResumoGeracaoAtual_BAC!B10</f>
        <v>366390946.52403307</v>
      </c>
      <c r="F14" s="183">
        <f t="shared" si="0"/>
        <v>25509606.822420001</v>
      </c>
      <c r="G14" s="29">
        <f>[1]ResumoGeracaoAtual_BC!F10</f>
        <v>25509606.822415091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83">
        <f t="shared" si="1"/>
        <v>109917288.64551</v>
      </c>
      <c r="N14" s="29">
        <f>[1]ResumoGeracaoAtual_BAC!C10</f>
        <v>109917288.64550936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183">
        <f t="shared" si="2"/>
        <v>51294732.816239998</v>
      </c>
      <c r="V14" s="29">
        <f>[1]ResumoGeracaoAtual_BAC!E10</f>
        <v>51294732.816236243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183">
        <f t="shared" si="3"/>
        <v>310612.43495000002</v>
      </c>
      <c r="AD14" s="29">
        <f>[1]ResumoGeracaoAtual_BAC!AS10</f>
        <v>310612.43495482701</v>
      </c>
      <c r="AE14" s="29">
        <v>0</v>
      </c>
      <c r="AF14" s="29">
        <v>0</v>
      </c>
      <c r="AG14" s="29">
        <v>0</v>
      </c>
      <c r="AH14" s="183">
        <f t="shared" si="4"/>
        <v>1920060.3089099999</v>
      </c>
      <c r="AI14" s="29">
        <f>[1]ResumoGeracaoAtual_BAC!AT10</f>
        <v>1920060.308909683</v>
      </c>
      <c r="AJ14" s="29">
        <v>0</v>
      </c>
      <c r="AK14" s="29">
        <v>0</v>
      </c>
      <c r="AL14" s="29">
        <v>0</v>
      </c>
      <c r="AM14" s="29">
        <v>0</v>
      </c>
      <c r="AN14" s="29">
        <f>[1]ResumoGeracaoAtual_BAC!Q10</f>
        <v>10434231.363897666</v>
      </c>
      <c r="AO14" s="29">
        <v>0</v>
      </c>
      <c r="AP14" s="29">
        <v>0</v>
      </c>
      <c r="AQ14" s="29">
        <f>SUM([1]ProjecoesAtuariais_Resumo!E10:J10)</f>
        <v>335424207.07999998</v>
      </c>
      <c r="AR14" s="183">
        <f t="shared" si="5"/>
        <v>534810739.47193003</v>
      </c>
      <c r="AS14" s="183">
        <f t="shared" si="6"/>
        <v>570007684.74803996</v>
      </c>
      <c r="AT14" s="29">
        <f>[1]ResumoGeracaoAtual_BC!B10</f>
        <v>441205327.54029149</v>
      </c>
      <c r="AU14" s="29">
        <v>0</v>
      </c>
      <c r="AV14" s="29">
        <v>0</v>
      </c>
      <c r="AW14" s="29">
        <v>0</v>
      </c>
      <c r="AX14" s="29">
        <f>[1]ResumoGeracaoAtual_BC!C10</f>
        <v>128802357.20774353</v>
      </c>
      <c r="AY14" s="29">
        <v>0</v>
      </c>
      <c r="AZ14" s="183">
        <f t="shared" si="7"/>
        <v>45691865.245930001</v>
      </c>
      <c r="BA14" s="29">
        <f>[1]ResumoGeracaoAtual_BAC!G10</f>
        <v>21835343.116296906</v>
      </c>
      <c r="BB14" s="29">
        <v>0</v>
      </c>
      <c r="BC14" s="29">
        <v>0</v>
      </c>
      <c r="BD14" s="29">
        <v>0</v>
      </c>
      <c r="BE14" s="29">
        <v>0</v>
      </c>
      <c r="BF14" s="29">
        <f>[1]ResumoGeracaoAtual_BAC!H10</f>
        <v>4599845.7273152759</v>
      </c>
      <c r="BG14" s="29">
        <v>0</v>
      </c>
      <c r="BH14" s="29">
        <v>0</v>
      </c>
      <c r="BI14" s="29">
        <f>[1]ResumoGeracaoAtual_BAC!AX10</f>
        <v>19256676.402313605</v>
      </c>
      <c r="BJ14" s="183">
        <f t="shared" si="8"/>
        <v>615699549.99397004</v>
      </c>
      <c r="BK14" s="183">
        <f t="shared" si="9"/>
        <v>-80888810.522039995</v>
      </c>
      <c r="BL14" s="183">
        <f>$BO$9+SUMPRODUCT($D$10:D14,$BK$10:BK14)</f>
        <v>513769393.07986867</v>
      </c>
      <c r="BM14" s="30">
        <f t="shared" si="10"/>
        <v>4.3</v>
      </c>
      <c r="BN14" s="183">
        <f t="shared" si="13"/>
        <v>29478755.237840001</v>
      </c>
      <c r="BO14" s="184">
        <f t="shared" si="11"/>
        <v>634142392.10731995</v>
      </c>
      <c r="BP14" s="41">
        <f t="shared" si="14"/>
        <v>486483208.163095</v>
      </c>
      <c r="BQ14" s="41">
        <f t="shared" si="15"/>
        <v>2189174436.7339277</v>
      </c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185">
        <f t="shared" si="12"/>
        <v>6</v>
      </c>
      <c r="B15" s="186">
        <f t="shared" si="12"/>
        <v>2025</v>
      </c>
      <c r="C15" s="29">
        <v>4.3</v>
      </c>
      <c r="D15" s="183">
        <f t="shared" si="16"/>
        <v>0.77676000000000001</v>
      </c>
      <c r="E15" s="29">
        <f>[1]ResumoGeracaoAtual_BAC!B11</f>
        <v>360811606.18968761</v>
      </c>
      <c r="F15" s="183">
        <f t="shared" si="0"/>
        <v>24528316.83013</v>
      </c>
      <c r="G15" s="29">
        <f>[1]ResumoGeracaoAtual_BC!F11</f>
        <v>24528316.830126051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83">
        <f t="shared" si="1"/>
        <v>108243486.33798</v>
      </c>
      <c r="N15" s="29">
        <f>[1]ResumoGeracaoAtual_BAC!C11</f>
        <v>108243486.33798084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183">
        <f t="shared" si="2"/>
        <v>50513625.035959996</v>
      </c>
      <c r="V15" s="29">
        <f>[1]ResumoGeracaoAtual_BAC!E11</f>
        <v>50513625.035959914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183">
        <f t="shared" si="3"/>
        <v>387345.27354000002</v>
      </c>
      <c r="AD15" s="29">
        <f>[1]ResumoGeracaoAtual_BAC!AS11</f>
        <v>387345.27353957243</v>
      </c>
      <c r="AE15" s="29">
        <v>0</v>
      </c>
      <c r="AF15" s="29">
        <v>0</v>
      </c>
      <c r="AG15" s="29">
        <v>0</v>
      </c>
      <c r="AH15" s="183">
        <f t="shared" si="4"/>
        <v>2168560.6723799999</v>
      </c>
      <c r="AI15" s="29">
        <f>[1]ResumoGeracaoAtual_BAC!AT11</f>
        <v>2168560.672383253</v>
      </c>
      <c r="AJ15" s="29">
        <v>0</v>
      </c>
      <c r="AK15" s="29">
        <v>0</v>
      </c>
      <c r="AL15" s="29">
        <v>0</v>
      </c>
      <c r="AM15" s="29">
        <v>0</v>
      </c>
      <c r="AN15" s="29">
        <f>[1]ResumoGeracaoAtual_BAC!Q11</f>
        <v>14600990.717477471</v>
      </c>
      <c r="AO15" s="29">
        <v>0</v>
      </c>
      <c r="AP15" s="29">
        <v>0</v>
      </c>
      <c r="AQ15" s="29">
        <f>SUM([1]ProjecoesAtuariais_Resumo!E11:J11)</f>
        <v>395424207.07999998</v>
      </c>
      <c r="AR15" s="183">
        <f t="shared" si="5"/>
        <v>595866531.94746995</v>
      </c>
      <c r="AS15" s="183">
        <f t="shared" si="6"/>
        <v>556256783.59415996</v>
      </c>
      <c r="AT15" s="29">
        <f>[1]ResumoGeracaoAtual_BC!B11</f>
        <v>425691422.48448634</v>
      </c>
      <c r="AU15" s="29">
        <v>0</v>
      </c>
      <c r="AV15" s="29">
        <v>0</v>
      </c>
      <c r="AW15" s="29">
        <v>0</v>
      </c>
      <c r="AX15" s="29">
        <f>[1]ResumoGeracaoAtual_BC!C11</f>
        <v>130565361.10967553</v>
      </c>
      <c r="AY15" s="29">
        <v>0</v>
      </c>
      <c r="AZ15" s="183">
        <f t="shared" si="7"/>
        <v>53232131.071330003</v>
      </c>
      <c r="BA15" s="29">
        <f>[1]ResumoGeracaoAtual_BAC!G11</f>
        <v>28649679.298675824</v>
      </c>
      <c r="BB15" s="29">
        <v>0</v>
      </c>
      <c r="BC15" s="29">
        <v>0</v>
      </c>
      <c r="BD15" s="29">
        <v>0</v>
      </c>
      <c r="BE15" s="29">
        <v>0</v>
      </c>
      <c r="BF15" s="29">
        <f>[1]ResumoGeracaoAtual_BAC!H11</f>
        <v>5556951.3637281731</v>
      </c>
      <c r="BG15" s="29">
        <v>0</v>
      </c>
      <c r="BH15" s="29">
        <v>0</v>
      </c>
      <c r="BI15" s="29">
        <f>[1]ResumoGeracaoAtual_BAC!AX11</f>
        <v>19025500.408925071</v>
      </c>
      <c r="BJ15" s="183">
        <f t="shared" si="8"/>
        <v>609488914.66549003</v>
      </c>
      <c r="BK15" s="183">
        <f t="shared" si="9"/>
        <v>-13622382.71802</v>
      </c>
      <c r="BL15" s="183">
        <f>$BO$9+SUMPRODUCT($D$10:D15,$BK$10:BK15)</f>
        <v>503188071.07981944</v>
      </c>
      <c r="BM15" s="30">
        <f t="shared" si="10"/>
        <v>4.3</v>
      </c>
      <c r="BN15" s="183">
        <f t="shared" si="13"/>
        <v>27268122.860610001</v>
      </c>
      <c r="BO15" s="184">
        <f t="shared" si="11"/>
        <v>647788132.24991</v>
      </c>
      <c r="BP15" s="41">
        <f t="shared" si="14"/>
        <v>462020417.98429388</v>
      </c>
      <c r="BQ15" s="41">
        <f t="shared" si="15"/>
        <v>2541112298.9136162</v>
      </c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185">
        <f t="shared" si="12"/>
        <v>7</v>
      </c>
      <c r="B16" s="186">
        <f t="shared" si="12"/>
        <v>2026</v>
      </c>
      <c r="C16" s="29">
        <v>4.3</v>
      </c>
      <c r="D16" s="183">
        <f t="shared" si="16"/>
        <v>0.74473999999999996</v>
      </c>
      <c r="E16" s="29">
        <f>[1]ResumoGeracaoAtual_BAC!B12</f>
        <v>357973315.64302623</v>
      </c>
      <c r="F16" s="183">
        <f t="shared" si="0"/>
        <v>23534455.56425</v>
      </c>
      <c r="G16" s="29">
        <f>[1]ResumoGeracaoAtual_BC!F12</f>
        <v>23534455.56425209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83">
        <f t="shared" si="1"/>
        <v>107391998.98824</v>
      </c>
      <c r="N16" s="29">
        <f>[1]ResumoGeracaoAtual_BAC!C12</f>
        <v>107391998.98824184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183">
        <f t="shared" si="2"/>
        <v>50116264.375289999</v>
      </c>
      <c r="V16" s="29">
        <f>[1]ResumoGeracaoAtual_BAC!E12</f>
        <v>50116264.375290163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183">
        <f t="shared" si="3"/>
        <v>440756.33149000001</v>
      </c>
      <c r="AD16" s="29">
        <f>[1]ResumoGeracaoAtual_BAC!AS12</f>
        <v>440756.33149163821</v>
      </c>
      <c r="AE16" s="29">
        <v>0</v>
      </c>
      <c r="AF16" s="29">
        <v>0</v>
      </c>
      <c r="AG16" s="29">
        <v>0</v>
      </c>
      <c r="AH16" s="183">
        <f t="shared" si="4"/>
        <v>2393899.40307</v>
      </c>
      <c r="AI16" s="29">
        <f>[1]ResumoGeracaoAtual_BAC!AT12</f>
        <v>2393899.4030669401</v>
      </c>
      <c r="AJ16" s="29">
        <v>0</v>
      </c>
      <c r="AK16" s="29">
        <v>0</v>
      </c>
      <c r="AL16" s="29">
        <v>0</v>
      </c>
      <c r="AM16" s="29">
        <v>0</v>
      </c>
      <c r="AN16" s="29">
        <f>[1]ResumoGeracaoAtual_BAC!Q12</f>
        <v>16677811.395687088</v>
      </c>
      <c r="AO16" s="29">
        <v>0</v>
      </c>
      <c r="AP16" s="29">
        <v>0</v>
      </c>
      <c r="AQ16" s="29">
        <f>SUM([1]ProjecoesAtuariais_Resumo!E12:J12)</f>
        <v>335424207.07999998</v>
      </c>
      <c r="AR16" s="183">
        <f t="shared" si="5"/>
        <v>535979393.13802999</v>
      </c>
      <c r="AS16" s="183">
        <f t="shared" si="6"/>
        <v>541589421.29394996</v>
      </c>
      <c r="AT16" s="29">
        <f>[1]ResumoGeracaoAtual_BC!B12</f>
        <v>409712169.19117463</v>
      </c>
      <c r="AU16" s="29">
        <v>0</v>
      </c>
      <c r="AV16" s="29">
        <v>0</v>
      </c>
      <c r="AW16" s="29">
        <v>0</v>
      </c>
      <c r="AX16" s="29">
        <f>[1]ResumoGeracaoAtual_BC!C12</f>
        <v>131877252.10277258</v>
      </c>
      <c r="AY16" s="29">
        <v>0</v>
      </c>
      <c r="AZ16" s="183">
        <f t="shared" si="7"/>
        <v>58353143.593010001</v>
      </c>
      <c r="BA16" s="29">
        <f>[1]ResumoGeracaoAtual_BAC!G12</f>
        <v>32993434.414080467</v>
      </c>
      <c r="BB16" s="29">
        <v>0</v>
      </c>
      <c r="BC16" s="29">
        <v>0</v>
      </c>
      <c r="BD16" s="29">
        <v>0</v>
      </c>
      <c r="BE16" s="29">
        <v>0</v>
      </c>
      <c r="BF16" s="29">
        <f>[1]ResumoGeracaoAtual_BAC!H12</f>
        <v>6577044.854815485</v>
      </c>
      <c r="BG16" s="29">
        <v>0</v>
      </c>
      <c r="BH16" s="29">
        <v>0</v>
      </c>
      <c r="BI16" s="29">
        <f>[1]ResumoGeracaoAtual_BAC!AX12</f>
        <v>18782664.324117389</v>
      </c>
      <c r="BJ16" s="183">
        <f t="shared" si="8"/>
        <v>599942564.88696003</v>
      </c>
      <c r="BK16" s="183">
        <f t="shared" si="9"/>
        <v>-63963171.74893</v>
      </c>
      <c r="BL16" s="183">
        <f>$BO$9+SUMPRODUCT($D$10:D16,$BK$10:BK16)</f>
        <v>455552138.5515213</v>
      </c>
      <c r="BM16" s="30">
        <f t="shared" si="10"/>
        <v>4.3</v>
      </c>
      <c r="BN16" s="183">
        <f t="shared" si="13"/>
        <v>27854889.686749998</v>
      </c>
      <c r="BO16" s="184">
        <f t="shared" si="11"/>
        <v>611679850.18772995</v>
      </c>
      <c r="BP16" s="41">
        <f t="shared" si="14"/>
        <v>436255623.39528024</v>
      </c>
      <c r="BQ16" s="41">
        <f t="shared" si="15"/>
        <v>2835661552.0693216</v>
      </c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 s="185">
        <f t="shared" si="12"/>
        <v>8</v>
      </c>
      <c r="B17" s="186">
        <f t="shared" si="12"/>
        <v>2027</v>
      </c>
      <c r="C17" s="29">
        <v>4.3</v>
      </c>
      <c r="D17" s="183">
        <f t="shared" si="16"/>
        <v>0.71404000000000001</v>
      </c>
      <c r="E17" s="29">
        <f>[1]ResumoGeracaoAtual_BAC!B13</f>
        <v>349689728.52570796</v>
      </c>
      <c r="F17" s="183">
        <f t="shared" si="0"/>
        <v>22524925.067990001</v>
      </c>
      <c r="G17" s="29">
        <f>[1]ResumoGeracaoAtual_BC!F13</f>
        <v>22524925.067988373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83">
        <f t="shared" si="1"/>
        <v>104906922.61226</v>
      </c>
      <c r="N17" s="29">
        <f>[1]ResumoGeracaoAtual_BAC!C13</f>
        <v>104906922.61226188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183">
        <f t="shared" si="2"/>
        <v>48956562.454729997</v>
      </c>
      <c r="V17" s="29">
        <f>[1]ResumoGeracaoAtual_BAC!E13</f>
        <v>48956562.454730883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183">
        <f t="shared" si="3"/>
        <v>544322.50485000003</v>
      </c>
      <c r="AD17" s="29">
        <f>[1]ResumoGeracaoAtual_BAC!AS13</f>
        <v>544322.50484756508</v>
      </c>
      <c r="AE17" s="29">
        <v>0</v>
      </c>
      <c r="AF17" s="29">
        <v>0</v>
      </c>
      <c r="AG17" s="29">
        <v>0</v>
      </c>
      <c r="AH17" s="183">
        <f t="shared" si="4"/>
        <v>2595199.70573</v>
      </c>
      <c r="AI17" s="29">
        <f>[1]ResumoGeracaoAtual_BAC!AT13</f>
        <v>2595199.7057343004</v>
      </c>
      <c r="AJ17" s="29">
        <v>0</v>
      </c>
      <c r="AK17" s="29">
        <v>0</v>
      </c>
      <c r="AL17" s="29">
        <v>0</v>
      </c>
      <c r="AM17" s="29">
        <v>0</v>
      </c>
      <c r="AN17" s="29">
        <f>[1]ResumoGeracaoAtual_BAC!Q13</f>
        <v>22065567.87197737</v>
      </c>
      <c r="AO17" s="29">
        <v>0</v>
      </c>
      <c r="AP17" s="29">
        <v>0</v>
      </c>
      <c r="AQ17" s="29">
        <f>SUM([1]ProjecoesAtuariais_Resumo!E13:J13)</f>
        <v>335424207.07999998</v>
      </c>
      <c r="AR17" s="183">
        <f t="shared" si="5"/>
        <v>537017707.29753995</v>
      </c>
      <c r="AS17" s="183">
        <f t="shared" si="6"/>
        <v>525916470.15192997</v>
      </c>
      <c r="AT17" s="29">
        <f>[1]ResumoGeracaoAtual_BC!B13</f>
        <v>393301040.86778295</v>
      </c>
      <c r="AU17" s="29">
        <v>0</v>
      </c>
      <c r="AV17" s="29">
        <v>0</v>
      </c>
      <c r="AW17" s="29">
        <v>0</v>
      </c>
      <c r="AX17" s="29">
        <f>[1]ResumoGeracaoAtual_BC!C13</f>
        <v>132615429.28414994</v>
      </c>
      <c r="AY17" s="29">
        <v>0</v>
      </c>
      <c r="AZ17" s="183">
        <f t="shared" si="7"/>
        <v>68139011.665570006</v>
      </c>
      <c r="BA17" s="29">
        <f>[1]ResumoGeracaoAtual_BAC!G13</f>
        <v>41969816.700038388</v>
      </c>
      <c r="BB17" s="29">
        <v>0</v>
      </c>
      <c r="BC17" s="29">
        <v>0</v>
      </c>
      <c r="BD17" s="29">
        <v>0</v>
      </c>
      <c r="BE17" s="29">
        <v>0</v>
      </c>
      <c r="BF17" s="29">
        <f>[1]ResumoGeracaoAtual_BAC!H13</f>
        <v>7664386.9195830189</v>
      </c>
      <c r="BG17" s="29">
        <v>0</v>
      </c>
      <c r="BH17" s="29">
        <v>0</v>
      </c>
      <c r="BI17" s="29">
        <f>[1]ResumoGeracaoAtual_BAC!AX13</f>
        <v>18504808.045945246</v>
      </c>
      <c r="BJ17" s="183">
        <f t="shared" si="8"/>
        <v>594055481.8175</v>
      </c>
      <c r="BK17" s="183">
        <f t="shared" si="9"/>
        <v>-57037774.519960001</v>
      </c>
      <c r="BL17" s="183">
        <f>$BO$9+SUMPRODUCT($D$10:D17,$BK$10:BK17)</f>
        <v>414824886.03328907</v>
      </c>
      <c r="BM17" s="30">
        <f t="shared" si="10"/>
        <v>4.3</v>
      </c>
      <c r="BN17" s="183">
        <f t="shared" si="13"/>
        <v>26302233.55807</v>
      </c>
      <c r="BO17" s="184">
        <f t="shared" si="11"/>
        <v>580944309.22583997</v>
      </c>
      <c r="BP17" s="41">
        <f t="shared" si="14"/>
        <v>414490809.90273565</v>
      </c>
      <c r="BQ17" s="41">
        <f t="shared" si="15"/>
        <v>3108681074.2705173</v>
      </c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185">
        <f t="shared" si="12"/>
        <v>9</v>
      </c>
      <c r="B18" s="186">
        <f t="shared" si="12"/>
        <v>2028</v>
      </c>
      <c r="C18" s="29">
        <v>4.3</v>
      </c>
      <c r="D18" s="183">
        <f t="shared" si="16"/>
        <v>0.68459999999999999</v>
      </c>
      <c r="E18" s="29">
        <f>[1]ResumoGeracaoAtual_BAC!B14</f>
        <v>342359480.36269552</v>
      </c>
      <c r="F18" s="183">
        <f t="shared" si="0"/>
        <v>21502372.534309998</v>
      </c>
      <c r="G18" s="29">
        <f>[1]ResumoGeracaoAtual_BC!F14</f>
        <v>21502372.534311228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83">
        <f t="shared" si="1"/>
        <v>102707847.66681001</v>
      </c>
      <c r="N18" s="29">
        <f>[1]ResumoGeracaoAtual_BAC!C14</f>
        <v>102707847.6668051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183">
        <f t="shared" si="2"/>
        <v>47930327.299110003</v>
      </c>
      <c r="V18" s="29">
        <f>[1]ResumoGeracaoAtual_BAC!E14</f>
        <v>47930327.299113147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183">
        <f t="shared" si="3"/>
        <v>600858.26058</v>
      </c>
      <c r="AD18" s="29">
        <f>[1]ResumoGeracaoAtual_BAC!AS14</f>
        <v>600858.26058395393</v>
      </c>
      <c r="AE18" s="29">
        <v>0</v>
      </c>
      <c r="AF18" s="29">
        <v>0</v>
      </c>
      <c r="AG18" s="29">
        <v>0</v>
      </c>
      <c r="AH18" s="183">
        <f t="shared" si="4"/>
        <v>2771607.6919300002</v>
      </c>
      <c r="AI18" s="29">
        <f>[1]ResumoGeracaoAtual_BAC!AT14</f>
        <v>2771607.6919337027</v>
      </c>
      <c r="AJ18" s="29">
        <v>0</v>
      </c>
      <c r="AK18" s="29">
        <v>0</v>
      </c>
      <c r="AL18" s="29">
        <v>0</v>
      </c>
      <c r="AM18" s="29">
        <v>0</v>
      </c>
      <c r="AN18" s="29">
        <f>[1]ResumoGeracaoAtual_BAC!Q14</f>
        <v>27466229.951852798</v>
      </c>
      <c r="AO18" s="29">
        <v>0</v>
      </c>
      <c r="AP18" s="29">
        <v>0</v>
      </c>
      <c r="AQ18" s="29">
        <f>SUM([1]ProjecoesAtuariais_Resumo!E14:J14)</f>
        <v>335424207.07999998</v>
      </c>
      <c r="AR18" s="183">
        <f t="shared" si="5"/>
        <v>538403450.48459005</v>
      </c>
      <c r="AS18" s="183">
        <f t="shared" si="6"/>
        <v>509267713.54842001</v>
      </c>
      <c r="AT18" s="29">
        <f>[1]ResumoGeracaoAtual_BC!B14</f>
        <v>376500074.3826052</v>
      </c>
      <c r="AU18" s="29">
        <v>0</v>
      </c>
      <c r="AV18" s="29">
        <v>0</v>
      </c>
      <c r="AW18" s="29">
        <v>0</v>
      </c>
      <c r="AX18" s="29">
        <f>[1]ResumoGeracaoAtual_BC!C14</f>
        <v>132767639.16581059</v>
      </c>
      <c r="AY18" s="29">
        <v>0</v>
      </c>
      <c r="AZ18" s="183">
        <f t="shared" si="7"/>
        <v>77029989.657600001</v>
      </c>
      <c r="BA18" s="29">
        <f>[1]ResumoGeracaoAtual_BAC!G14</f>
        <v>49999311.591847055</v>
      </c>
      <c r="BB18" s="29">
        <v>0</v>
      </c>
      <c r="BC18" s="29">
        <v>0</v>
      </c>
      <c r="BD18" s="29">
        <v>0</v>
      </c>
      <c r="BE18" s="29">
        <v>0</v>
      </c>
      <c r="BF18" s="29">
        <f>[1]ResumoGeracaoAtual_BAC!H14</f>
        <v>8821713.6820544973</v>
      </c>
      <c r="BG18" s="29">
        <v>0</v>
      </c>
      <c r="BH18" s="29">
        <v>0</v>
      </c>
      <c r="BI18" s="29">
        <f>[1]ResumoGeracaoAtual_BAC!AX14</f>
        <v>18208964.383700255</v>
      </c>
      <c r="BJ18" s="183">
        <f t="shared" si="8"/>
        <v>586297703.20602</v>
      </c>
      <c r="BK18" s="183">
        <f t="shared" si="9"/>
        <v>-47894252.721430004</v>
      </c>
      <c r="BL18" s="183">
        <f>$BO$9+SUMPRODUCT($D$10:D18,$BK$10:BK18)</f>
        <v>382036480.62019807</v>
      </c>
      <c r="BM18" s="30">
        <f t="shared" si="10"/>
        <v>4.3</v>
      </c>
      <c r="BN18" s="183">
        <f t="shared" si="13"/>
        <v>24980605.296709999</v>
      </c>
      <c r="BO18" s="184">
        <f t="shared" si="11"/>
        <v>558030661.80112004</v>
      </c>
      <c r="BP18" s="41">
        <f t="shared" si="14"/>
        <v>392530560.35778809</v>
      </c>
      <c r="BQ18" s="41">
        <f t="shared" si="15"/>
        <v>3336509763.0411987</v>
      </c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185">
        <f t="shared" si="12"/>
        <v>10</v>
      </c>
      <c r="B19" s="186">
        <f t="shared" si="12"/>
        <v>2029</v>
      </c>
      <c r="C19" s="29">
        <v>4.3</v>
      </c>
      <c r="D19" s="183">
        <f t="shared" si="16"/>
        <v>0.65637999999999996</v>
      </c>
      <c r="E19" s="29">
        <f>[1]ResumoGeracaoAtual_BAC!B15</f>
        <v>333668527.50571322</v>
      </c>
      <c r="F19" s="183">
        <f t="shared" si="0"/>
        <v>20469903.758060001</v>
      </c>
      <c r="G19" s="29">
        <f>[1]ResumoGeracaoAtual_BC!F15</f>
        <v>20469903.758063734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83">
        <f t="shared" si="1"/>
        <v>100100562.53417</v>
      </c>
      <c r="N19" s="29">
        <f>[1]ResumoGeracaoAtual_BAC!C15</f>
        <v>100100562.5341669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183">
        <f t="shared" si="2"/>
        <v>46713594.094930001</v>
      </c>
      <c r="V19" s="29">
        <f>[1]ResumoGeracaoAtual_BAC!E15</f>
        <v>46713594.094930671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183">
        <f t="shared" si="3"/>
        <v>666418.30035999999</v>
      </c>
      <c r="AD19" s="29">
        <f>[1]ResumoGeracaoAtual_BAC!AS15</f>
        <v>666418.30035642488</v>
      </c>
      <c r="AE19" s="29">
        <v>0</v>
      </c>
      <c r="AF19" s="29">
        <v>0</v>
      </c>
      <c r="AG19" s="29">
        <v>0</v>
      </c>
      <c r="AH19" s="183">
        <f t="shared" si="4"/>
        <v>2922473.4434799999</v>
      </c>
      <c r="AI19" s="29">
        <f>[1]ResumoGeracaoAtual_BAC!AT15</f>
        <v>2922473.4434812199</v>
      </c>
      <c r="AJ19" s="29">
        <v>0</v>
      </c>
      <c r="AK19" s="29">
        <v>0</v>
      </c>
      <c r="AL19" s="29">
        <v>0</v>
      </c>
      <c r="AM19" s="29">
        <v>0</v>
      </c>
      <c r="AN19" s="29">
        <f>[1]ResumoGeracaoAtual_BAC!Q15</f>
        <v>33258199.515773304</v>
      </c>
      <c r="AO19" s="29">
        <v>0</v>
      </c>
      <c r="AP19" s="29">
        <v>0</v>
      </c>
      <c r="AQ19" s="29">
        <f>SUM([1]ProjecoesAtuariais_Resumo!E15:J15)</f>
        <v>335424207.07999998</v>
      </c>
      <c r="AR19" s="183">
        <f t="shared" si="5"/>
        <v>539555358.72677004</v>
      </c>
      <c r="AS19" s="183">
        <f t="shared" si="6"/>
        <v>491687033.70703</v>
      </c>
      <c r="AT19" s="29">
        <f>[1]ResumoGeracaoAtual_BC!B15</f>
        <v>359358503.12022698</v>
      </c>
      <c r="AU19" s="29">
        <v>0</v>
      </c>
      <c r="AV19" s="29">
        <v>0</v>
      </c>
      <c r="AW19" s="29">
        <v>0</v>
      </c>
      <c r="AX19" s="29">
        <f>[1]ResumoGeracaoAtual_BC!C15</f>
        <v>132328530.58680645</v>
      </c>
      <c r="AY19" s="29">
        <v>0</v>
      </c>
      <c r="AZ19" s="183">
        <f t="shared" si="7"/>
        <v>86949216.048989996</v>
      </c>
      <c r="BA19" s="29">
        <f>[1]ResumoGeracaoAtual_BAC!G15</f>
        <v>59011282.106082246</v>
      </c>
      <c r="BB19" s="29">
        <v>0</v>
      </c>
      <c r="BC19" s="29">
        <v>0</v>
      </c>
      <c r="BD19" s="29">
        <v>0</v>
      </c>
      <c r="BE19" s="29">
        <v>0</v>
      </c>
      <c r="BF19" s="29">
        <f>[1]ResumoGeracaoAtual_BAC!H15</f>
        <v>10049604.976991992</v>
      </c>
      <c r="BG19" s="29">
        <v>0</v>
      </c>
      <c r="BH19" s="29">
        <v>0</v>
      </c>
      <c r="BI19" s="29">
        <f>[1]ResumoGeracaoAtual_BAC!AX15</f>
        <v>17888328.965916418</v>
      </c>
      <c r="BJ19" s="183">
        <f t="shared" si="8"/>
        <v>578636249.75601995</v>
      </c>
      <c r="BK19" s="183">
        <f t="shared" si="9"/>
        <v>-39080891.029250003</v>
      </c>
      <c r="BL19" s="183">
        <f>$BO$9+SUMPRODUCT($D$10:D19,$BK$10:BK19)</f>
        <v>356384565.36641896</v>
      </c>
      <c r="BM19" s="30">
        <f t="shared" si="10"/>
        <v>4.3</v>
      </c>
      <c r="BN19" s="183">
        <f t="shared" si="13"/>
        <v>23995318.457449999</v>
      </c>
      <c r="BO19" s="184">
        <f t="shared" si="11"/>
        <v>542945089.22932005</v>
      </c>
      <c r="BP19" s="41">
        <f t="shared" si="14"/>
        <v>371758818.97132969</v>
      </c>
      <c r="BQ19" s="41">
        <f t="shared" si="15"/>
        <v>3531708780.227632</v>
      </c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185">
        <f t="shared" si="12"/>
        <v>11</v>
      </c>
      <c r="B20" s="186">
        <f t="shared" si="12"/>
        <v>2030</v>
      </c>
      <c r="C20" s="29">
        <v>4.3</v>
      </c>
      <c r="D20" s="183">
        <f t="shared" si="16"/>
        <v>0.62931999999999999</v>
      </c>
      <c r="E20" s="29">
        <f>[1]ResumoGeracaoAtual_BAC!B16</f>
        <v>320991426.59765929</v>
      </c>
      <c r="F20" s="183">
        <f t="shared" si="0"/>
        <v>19430950.77163</v>
      </c>
      <c r="G20" s="29">
        <f>[1]ResumoGeracaoAtual_BC!F16</f>
        <v>19430950.771627989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83">
        <f t="shared" si="1"/>
        <v>96297432.076550007</v>
      </c>
      <c r="N20" s="29">
        <f>[1]ResumoGeracaoAtual_BAC!C16</f>
        <v>96297432.076548189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183">
        <f t="shared" si="2"/>
        <v>44938799.876340002</v>
      </c>
      <c r="V20" s="29">
        <f>[1]ResumoGeracaoAtual_BAC!E16</f>
        <v>44938799.876335971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183">
        <f t="shared" si="3"/>
        <v>773998.08557</v>
      </c>
      <c r="AD20" s="29">
        <f>[1]ResumoGeracaoAtual_BAC!AS16</f>
        <v>773998.0855718879</v>
      </c>
      <c r="AE20" s="29">
        <v>0</v>
      </c>
      <c r="AF20" s="29">
        <v>0</v>
      </c>
      <c r="AG20" s="29">
        <v>0</v>
      </c>
      <c r="AH20" s="183">
        <f t="shared" si="4"/>
        <v>3047470.0072300001</v>
      </c>
      <c r="AI20" s="29">
        <f>[1]ResumoGeracaoAtual_BAC!AT16</f>
        <v>3047470.0072345091</v>
      </c>
      <c r="AJ20" s="29">
        <v>0</v>
      </c>
      <c r="AK20" s="29">
        <v>0</v>
      </c>
      <c r="AL20" s="29">
        <v>0</v>
      </c>
      <c r="AM20" s="29">
        <v>0</v>
      </c>
      <c r="AN20" s="29">
        <f>[1]ResumoGeracaoAtual_BAC!Q16</f>
        <v>41342340.333920158</v>
      </c>
      <c r="AO20" s="29">
        <v>0</v>
      </c>
      <c r="AP20" s="29">
        <v>0</v>
      </c>
      <c r="AQ20" s="29">
        <f>SUM([1]ProjecoesAtuariais_Resumo!E16:J16)</f>
        <v>395424207.07999998</v>
      </c>
      <c r="AR20" s="183">
        <f t="shared" si="5"/>
        <v>601255198.23124003</v>
      </c>
      <c r="AS20" s="183">
        <f t="shared" si="6"/>
        <v>473227895.09470999</v>
      </c>
      <c r="AT20" s="29">
        <f>[1]ResumoGeracaoAtual_BC!B16</f>
        <v>341932566.16299951</v>
      </c>
      <c r="AU20" s="29">
        <v>0</v>
      </c>
      <c r="AV20" s="29">
        <v>0</v>
      </c>
      <c r="AW20" s="29">
        <v>0</v>
      </c>
      <c r="AX20" s="29">
        <f>[1]ResumoGeracaoAtual_BC!C16</f>
        <v>131295328.93171084</v>
      </c>
      <c r="AY20" s="29">
        <v>0</v>
      </c>
      <c r="AZ20" s="183">
        <f t="shared" si="7"/>
        <v>99912739.867359996</v>
      </c>
      <c r="BA20" s="29">
        <f>[1]ResumoGeracaoAtual_BAC!G16</f>
        <v>71027705.471747532</v>
      </c>
      <c r="BB20" s="29">
        <v>0</v>
      </c>
      <c r="BC20" s="29">
        <v>0</v>
      </c>
      <c r="BD20" s="29">
        <v>0</v>
      </c>
      <c r="BE20" s="29">
        <v>0</v>
      </c>
      <c r="BF20" s="29">
        <f>[1]ResumoGeracaoAtual_BAC!H16</f>
        <v>11353033.18855916</v>
      </c>
      <c r="BG20" s="29">
        <v>0</v>
      </c>
      <c r="BH20" s="29">
        <v>0</v>
      </c>
      <c r="BI20" s="29">
        <f>[1]ResumoGeracaoAtual_BAC!AX16</f>
        <v>17532001.207053527</v>
      </c>
      <c r="BJ20" s="183">
        <f t="shared" si="8"/>
        <v>573140634.96206999</v>
      </c>
      <c r="BK20" s="183">
        <f t="shared" si="9"/>
        <v>28114563.269170001</v>
      </c>
      <c r="BL20" s="183">
        <f>$BO$9+SUMPRODUCT($D$10:D20,$BK$10:BK20)</f>
        <v>374077622.32297301</v>
      </c>
      <c r="BM20" s="30">
        <f t="shared" si="10"/>
        <v>4.3</v>
      </c>
      <c r="BN20" s="183">
        <f t="shared" si="13"/>
        <v>23346638.836860001</v>
      </c>
      <c r="BO20" s="184">
        <f t="shared" si="11"/>
        <v>594406291.33535004</v>
      </c>
      <c r="BP20" s="41">
        <f t="shared" si="14"/>
        <v>353418414.75063831</v>
      </c>
      <c r="BQ20" s="41">
        <f t="shared" si="15"/>
        <v>3710893354.8817024</v>
      </c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185">
        <f t="shared" si="12"/>
        <v>12</v>
      </c>
      <c r="B21" s="186">
        <f t="shared" si="12"/>
        <v>2031</v>
      </c>
      <c r="C21" s="29">
        <v>4.3</v>
      </c>
      <c r="D21" s="183">
        <f t="shared" si="16"/>
        <v>0.60336999999999996</v>
      </c>
      <c r="E21" s="29">
        <f>[1]ResumoGeracaoAtual_BAC!B17</f>
        <v>312481345.96482092</v>
      </c>
      <c r="F21" s="183">
        <f t="shared" si="0"/>
        <v>18389354.207199998</v>
      </c>
      <c r="G21" s="29">
        <f>[1]ResumoGeracaoAtual_BC!F17</f>
        <v>18389354.207196869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83">
        <f t="shared" si="1"/>
        <v>93744407.243169993</v>
      </c>
      <c r="N21" s="29">
        <f>[1]ResumoGeracaoAtual_BAC!C17</f>
        <v>93744407.243170634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183">
        <f t="shared" si="2"/>
        <v>43747388.657789998</v>
      </c>
      <c r="V21" s="29">
        <f>[1]ResumoGeracaoAtual_BAC!E17</f>
        <v>43747388.657793261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183">
        <f t="shared" si="3"/>
        <v>825514.17353000003</v>
      </c>
      <c r="AD21" s="29">
        <f>[1]ResumoGeracaoAtual_BAC!AS17</f>
        <v>825514.17353144288</v>
      </c>
      <c r="AE21" s="29">
        <v>0</v>
      </c>
      <c r="AF21" s="29">
        <v>0</v>
      </c>
      <c r="AG21" s="29">
        <v>0</v>
      </c>
      <c r="AH21" s="183">
        <f t="shared" si="4"/>
        <v>3145775.8029800002</v>
      </c>
      <c r="AI21" s="29">
        <f>[1]ResumoGeracaoAtual_BAC!AT17</f>
        <v>3145775.8029768714</v>
      </c>
      <c r="AJ21" s="29">
        <v>0</v>
      </c>
      <c r="AK21" s="29">
        <v>0</v>
      </c>
      <c r="AL21" s="29">
        <v>0</v>
      </c>
      <c r="AM21" s="29">
        <v>0</v>
      </c>
      <c r="AN21" s="29">
        <f>[1]ResumoGeracaoAtual_BAC!Q17</f>
        <v>46530151.25348974</v>
      </c>
      <c r="AO21" s="29">
        <v>0</v>
      </c>
      <c r="AP21" s="29">
        <v>0</v>
      </c>
      <c r="AQ21" s="29">
        <f>SUM([1]ProjecoesAtuariais_Resumo!E17:J17)</f>
        <v>335424207.07999998</v>
      </c>
      <c r="AR21" s="183">
        <f t="shared" si="5"/>
        <v>541806798.41815996</v>
      </c>
      <c r="AS21" s="183">
        <f t="shared" si="6"/>
        <v>453954900.61071002</v>
      </c>
      <c r="AT21" s="29">
        <f>[1]ResumoGeracaoAtual_BC!B17</f>
        <v>324286244.77725649</v>
      </c>
      <c r="AU21" s="29">
        <v>0</v>
      </c>
      <c r="AV21" s="29">
        <v>0</v>
      </c>
      <c r="AW21" s="29">
        <v>0</v>
      </c>
      <c r="AX21" s="29">
        <f>[1]ResumoGeracaoAtual_BC!C17</f>
        <v>129668655.83345458</v>
      </c>
      <c r="AY21" s="29">
        <v>0</v>
      </c>
      <c r="AZ21" s="183">
        <f t="shared" si="7"/>
        <v>109437647.85698999</v>
      </c>
      <c r="BA21" s="29">
        <f>[1]ResumoGeracaoAtual_BAC!G17</f>
        <v>79534796.098950312</v>
      </c>
      <c r="BB21" s="29">
        <v>0</v>
      </c>
      <c r="BC21" s="29">
        <v>0</v>
      </c>
      <c r="BD21" s="29">
        <v>0</v>
      </c>
      <c r="BE21" s="29">
        <v>0</v>
      </c>
      <c r="BF21" s="29">
        <f>[1]ResumoGeracaoAtual_BAC!H17</f>
        <v>12728853.827992072</v>
      </c>
      <c r="BG21" s="29">
        <v>0</v>
      </c>
      <c r="BH21" s="29">
        <v>0</v>
      </c>
      <c r="BI21" s="29">
        <f>[1]ResumoGeracaoAtual_BAC!AX17</f>
        <v>17173997.93004949</v>
      </c>
      <c r="BJ21" s="183">
        <f t="shared" si="8"/>
        <v>563392548.4677</v>
      </c>
      <c r="BK21" s="183">
        <f t="shared" si="9"/>
        <v>-21585750.049539998</v>
      </c>
      <c r="BL21" s="183">
        <f>$BO$9+SUMPRODUCT($D$10:D21,$BK$10:BK21)</f>
        <v>361053428.31558204</v>
      </c>
      <c r="BM21" s="30">
        <f t="shared" si="10"/>
        <v>4.3</v>
      </c>
      <c r="BN21" s="183">
        <f t="shared" si="13"/>
        <v>25559470.527419999</v>
      </c>
      <c r="BO21" s="184">
        <f t="shared" si="11"/>
        <v>598380011.81323004</v>
      </c>
      <c r="BP21" s="41">
        <f t="shared" si="14"/>
        <v>333390583.37506264</v>
      </c>
      <c r="BQ21" s="41">
        <f t="shared" si="15"/>
        <v>3833991708.8132205</v>
      </c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185">
        <f t="shared" si="12"/>
        <v>13</v>
      </c>
      <c r="B22" s="186">
        <f t="shared" si="12"/>
        <v>2032</v>
      </c>
      <c r="C22" s="29">
        <v>4.3</v>
      </c>
      <c r="D22" s="183">
        <f t="shared" si="16"/>
        <v>0.57848999999999995</v>
      </c>
      <c r="E22" s="29">
        <f>[1]ResumoGeracaoAtual_BAC!B18</f>
        <v>301082337.71208352</v>
      </c>
      <c r="F22" s="183">
        <f t="shared" si="0"/>
        <v>17348658.185350001</v>
      </c>
      <c r="G22" s="29">
        <f>[1]ResumoGeracaoAtual_BC!F18</f>
        <v>17348658.185351372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83">
        <f t="shared" si="1"/>
        <v>90324704.508780003</v>
      </c>
      <c r="N22" s="29">
        <f>[1]ResumoGeracaoAtual_BAC!C18</f>
        <v>90324704.508776322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183">
        <f t="shared" si="2"/>
        <v>42151527.652269997</v>
      </c>
      <c r="V22" s="29">
        <f>[1]ResumoGeracaoAtual_BAC!E18</f>
        <v>42151527.652268946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83">
        <f t="shared" si="3"/>
        <v>908049.82706000004</v>
      </c>
      <c r="AD22" s="29">
        <f>[1]ResumoGeracaoAtual_BAC!AS18</f>
        <v>908049.82705658511</v>
      </c>
      <c r="AE22" s="29">
        <v>0</v>
      </c>
      <c r="AF22" s="29">
        <v>0</v>
      </c>
      <c r="AG22" s="29">
        <v>0</v>
      </c>
      <c r="AH22" s="183">
        <f t="shared" si="4"/>
        <v>3217083.23269</v>
      </c>
      <c r="AI22" s="29">
        <f>[1]ResumoGeracaoAtual_BAC!AT18</f>
        <v>3217083.2326911185</v>
      </c>
      <c r="AJ22" s="29">
        <v>0</v>
      </c>
      <c r="AK22" s="29">
        <v>0</v>
      </c>
      <c r="AL22" s="29">
        <v>0</v>
      </c>
      <c r="AM22" s="29">
        <v>0</v>
      </c>
      <c r="AN22" s="29">
        <f>[1]ResumoGeracaoAtual_BAC!Q18</f>
        <v>52870490.364134818</v>
      </c>
      <c r="AO22" s="29">
        <v>0</v>
      </c>
      <c r="AP22" s="29">
        <v>0</v>
      </c>
      <c r="AQ22" s="29">
        <f>SUM([1]ProjecoesAtuariais_Resumo!E18:J18)</f>
        <v>335424207.07999998</v>
      </c>
      <c r="AR22" s="183">
        <f t="shared" si="5"/>
        <v>542244720.85028994</v>
      </c>
      <c r="AS22" s="183">
        <f t="shared" si="6"/>
        <v>433901315.62720001</v>
      </c>
      <c r="AT22" s="29">
        <f>[1]ResumoGeracaoAtual_BC!B18</f>
        <v>306489300.15208429</v>
      </c>
      <c r="AU22" s="29">
        <v>0</v>
      </c>
      <c r="AV22" s="29">
        <v>0</v>
      </c>
      <c r="AW22" s="29">
        <v>0</v>
      </c>
      <c r="AX22" s="29">
        <f>[1]ResumoGeracaoAtual_BC!C18</f>
        <v>127412015.4751114</v>
      </c>
      <c r="AY22" s="29">
        <v>0</v>
      </c>
      <c r="AZ22" s="183">
        <f t="shared" si="7"/>
        <v>121148007.93224999</v>
      </c>
      <c r="BA22" s="29">
        <f>[1]ResumoGeracaoAtual_BAC!G18</f>
        <v>90183619.703121722</v>
      </c>
      <c r="BB22" s="29">
        <v>0</v>
      </c>
      <c r="BC22" s="29">
        <v>0</v>
      </c>
      <c r="BD22" s="29">
        <v>0</v>
      </c>
      <c r="BE22" s="29">
        <v>0</v>
      </c>
      <c r="BF22" s="29">
        <f>[1]ResumoGeracaoAtual_BAC!H18</f>
        <v>14177492.910076395</v>
      </c>
      <c r="BG22" s="29">
        <v>0</v>
      </c>
      <c r="BH22" s="29">
        <v>0</v>
      </c>
      <c r="BI22" s="29">
        <f>[1]ResumoGeracaoAtual_BAC!AX18</f>
        <v>16786895.319049548</v>
      </c>
      <c r="BJ22" s="183">
        <f t="shared" si="8"/>
        <v>555049323.55945003</v>
      </c>
      <c r="BK22" s="183">
        <f t="shared" si="9"/>
        <v>-12804602.70916</v>
      </c>
      <c r="BL22" s="183">
        <f>$BO$9+SUMPRODUCT($D$10:D22,$BK$10:BK22)</f>
        <v>353646093.69436008</v>
      </c>
      <c r="BM22" s="30">
        <f t="shared" si="10"/>
        <v>4.3</v>
      </c>
      <c r="BN22" s="183">
        <f t="shared" si="13"/>
        <v>25730340.507970002</v>
      </c>
      <c r="BO22" s="184">
        <f t="shared" si="11"/>
        <v>611305749.61204004</v>
      </c>
      <c r="BP22" s="41">
        <f t="shared" si="14"/>
        <v>315240531.44720161</v>
      </c>
      <c r="BQ22" s="41">
        <f t="shared" si="15"/>
        <v>3940506643.0900202</v>
      </c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185">
        <f t="shared" si="12"/>
        <v>14</v>
      </c>
      <c r="B23" s="186">
        <f t="shared" si="12"/>
        <v>2033</v>
      </c>
      <c r="C23" s="29">
        <v>4.3</v>
      </c>
      <c r="D23" s="183">
        <f t="shared" si="16"/>
        <v>0.55464000000000002</v>
      </c>
      <c r="E23" s="29">
        <f>[1]ResumoGeracaoAtual_BAC!B19</f>
        <v>290575279.9745934</v>
      </c>
      <c r="F23" s="183">
        <f t="shared" si="0"/>
        <v>16311798.21438</v>
      </c>
      <c r="G23" s="29">
        <f>[1]ResumoGeracaoAtual_BC!F19</f>
        <v>16311798.214380993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83">
        <f t="shared" si="1"/>
        <v>87172586.824100003</v>
      </c>
      <c r="N23" s="29">
        <f>[1]ResumoGeracaoAtual_BAC!C19</f>
        <v>87172586.824095324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183">
        <f t="shared" si="2"/>
        <v>40680539.31363</v>
      </c>
      <c r="V23" s="29">
        <f>[1]ResumoGeracaoAtual_BAC!E19</f>
        <v>40680539.31363079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183">
        <f t="shared" si="3"/>
        <v>983393.03604000004</v>
      </c>
      <c r="AD23" s="29">
        <f>[1]ResumoGeracaoAtual_BAC!AS19</f>
        <v>983393.03603645589</v>
      </c>
      <c r="AE23" s="29">
        <v>0</v>
      </c>
      <c r="AF23" s="29">
        <v>0</v>
      </c>
      <c r="AG23" s="29">
        <v>0</v>
      </c>
      <c r="AH23" s="183">
        <f t="shared" si="4"/>
        <v>3261138.41346</v>
      </c>
      <c r="AI23" s="29">
        <f>[1]ResumoGeracaoAtual_BAC!AT19</f>
        <v>3261138.4134630733</v>
      </c>
      <c r="AJ23" s="29">
        <v>0</v>
      </c>
      <c r="AK23" s="29">
        <v>0</v>
      </c>
      <c r="AL23" s="29">
        <v>0</v>
      </c>
      <c r="AM23" s="29">
        <v>0</v>
      </c>
      <c r="AN23" s="29">
        <f>[1]ResumoGeracaoAtual_BAC!Q19</f>
        <v>58062118.581983142</v>
      </c>
      <c r="AO23" s="29">
        <v>0</v>
      </c>
      <c r="AP23" s="29">
        <v>0</v>
      </c>
      <c r="AQ23" s="29">
        <f>SUM([1]ProjecoesAtuariais_Resumo!E19:J19)</f>
        <v>335424207.07999998</v>
      </c>
      <c r="AR23" s="183">
        <f t="shared" si="5"/>
        <v>541895781.46359003</v>
      </c>
      <c r="AS23" s="183">
        <f t="shared" si="6"/>
        <v>413213101.14342999</v>
      </c>
      <c r="AT23" s="29">
        <f>[1]ResumoGeracaoAtual_BC!B19</f>
        <v>288615176.39542633</v>
      </c>
      <c r="AU23" s="29">
        <v>0</v>
      </c>
      <c r="AV23" s="29">
        <v>0</v>
      </c>
      <c r="AW23" s="29">
        <v>0</v>
      </c>
      <c r="AX23" s="29">
        <f>[1]ResumoGeracaoAtual_BC!C19</f>
        <v>124597924.74800277</v>
      </c>
      <c r="AY23" s="29">
        <v>0</v>
      </c>
      <c r="AZ23" s="183">
        <f t="shared" si="7"/>
        <v>131735719.15219</v>
      </c>
      <c r="BA23" s="29">
        <f>[1]ResumoGeracaoAtual_BAC!G19</f>
        <v>99654407.757576123</v>
      </c>
      <c r="BB23" s="29">
        <v>0</v>
      </c>
      <c r="BC23" s="29">
        <v>0</v>
      </c>
      <c r="BD23" s="29">
        <v>0</v>
      </c>
      <c r="BE23" s="29">
        <v>0</v>
      </c>
      <c r="BF23" s="29">
        <f>[1]ResumoGeracaoAtual_BAC!H19</f>
        <v>15698485.899115827</v>
      </c>
      <c r="BG23" s="29">
        <v>0</v>
      </c>
      <c r="BH23" s="29">
        <v>0</v>
      </c>
      <c r="BI23" s="29">
        <f>[1]ResumoGeracaoAtual_BAC!AX19</f>
        <v>16382825.495494289</v>
      </c>
      <c r="BJ23" s="183">
        <f t="shared" si="8"/>
        <v>544948820.29561996</v>
      </c>
      <c r="BK23" s="183">
        <f t="shared" si="9"/>
        <v>-3053038.8320300002</v>
      </c>
      <c r="BL23" s="183">
        <f>$BO$9+SUMPRODUCT($D$10:D23,$BK$10:BK23)</f>
        <v>351952756.23656297</v>
      </c>
      <c r="BM23" s="30">
        <f t="shared" si="10"/>
        <v>4.3</v>
      </c>
      <c r="BN23" s="183">
        <f t="shared" si="13"/>
        <v>26286147.233320002</v>
      </c>
      <c r="BO23" s="184">
        <f t="shared" si="11"/>
        <v>634538858.01332998</v>
      </c>
      <c r="BP23" s="41">
        <f t="shared" si="14"/>
        <v>297042300.80423141</v>
      </c>
      <c r="BQ23" s="41">
        <f t="shared" si="15"/>
        <v>4010071060.8571239</v>
      </c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 s="185">
        <f t="shared" si="12"/>
        <v>15</v>
      </c>
      <c r="B24" s="186">
        <f t="shared" si="12"/>
        <v>2034</v>
      </c>
      <c r="C24" s="29">
        <v>4.3</v>
      </c>
      <c r="D24" s="183">
        <f t="shared" si="16"/>
        <v>0.53176999999999996</v>
      </c>
      <c r="E24" s="29">
        <f>[1]ResumoGeracaoAtual_BAC!B20</f>
        <v>278980827.70723456</v>
      </c>
      <c r="F24" s="183">
        <f t="shared" si="0"/>
        <v>15281088.00874</v>
      </c>
      <c r="G24" s="29">
        <f>[1]ResumoGeracaoAtual_BC!F20</f>
        <v>15281088.008738546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83">
        <f t="shared" si="1"/>
        <v>83694251.370289996</v>
      </c>
      <c r="N24" s="29">
        <f>[1]ResumoGeracaoAtual_BAC!C20</f>
        <v>83694251.370293185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183">
        <f t="shared" si="2"/>
        <v>39057315.926600002</v>
      </c>
      <c r="V24" s="29">
        <f>[1]ResumoGeracaoAtual_BAC!E20</f>
        <v>39057315.926597707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183">
        <f t="shared" si="3"/>
        <v>1050537.93429</v>
      </c>
      <c r="AD24" s="29">
        <f>[1]ResumoGeracaoAtual_BAC!AS20</f>
        <v>1050537.9342945339</v>
      </c>
      <c r="AE24" s="29">
        <v>0</v>
      </c>
      <c r="AF24" s="29">
        <v>0</v>
      </c>
      <c r="AG24" s="29">
        <v>0</v>
      </c>
      <c r="AH24" s="183">
        <f t="shared" si="4"/>
        <v>3277932.6271700002</v>
      </c>
      <c r="AI24" s="29">
        <f>[1]ResumoGeracaoAtual_BAC!AT20</f>
        <v>3277932.6271678638</v>
      </c>
      <c r="AJ24" s="29">
        <v>0</v>
      </c>
      <c r="AK24" s="29">
        <v>0</v>
      </c>
      <c r="AL24" s="29">
        <v>0</v>
      </c>
      <c r="AM24" s="29">
        <v>0</v>
      </c>
      <c r="AN24" s="29">
        <f>[1]ResumoGeracaoAtual_BAC!Q20</f>
        <v>63399926.470282309</v>
      </c>
      <c r="AO24" s="29">
        <v>0</v>
      </c>
      <c r="AP24" s="29">
        <v>0</v>
      </c>
      <c r="AQ24" s="29">
        <f>SUM([1]ProjecoesAtuariais_Resumo!E20:J20)</f>
        <v>335424207.07999998</v>
      </c>
      <c r="AR24" s="183">
        <f t="shared" si="5"/>
        <v>541185259.41736996</v>
      </c>
      <c r="AS24" s="183">
        <f t="shared" si="6"/>
        <v>391933421.54364002</v>
      </c>
      <c r="AT24" s="29">
        <f>[1]ResumoGeracaoAtual_BC!B20</f>
        <v>270738374.62633783</v>
      </c>
      <c r="AU24" s="29">
        <v>0</v>
      </c>
      <c r="AV24" s="29">
        <v>0</v>
      </c>
      <c r="AW24" s="29">
        <v>0</v>
      </c>
      <c r="AX24" s="29">
        <f>[1]ResumoGeracaoAtual_BC!C20</f>
        <v>121195046.91730154</v>
      </c>
      <c r="AY24" s="29">
        <v>0</v>
      </c>
      <c r="AZ24" s="183">
        <f t="shared" si="7"/>
        <v>143264300.58717</v>
      </c>
      <c r="BA24" s="29">
        <f>[1]ResumoGeracaoAtual_BAC!G20</f>
        <v>110010391.3770235</v>
      </c>
      <c r="BB24" s="29">
        <v>0</v>
      </c>
      <c r="BC24" s="29">
        <v>0</v>
      </c>
      <c r="BD24" s="29">
        <v>0</v>
      </c>
      <c r="BE24" s="29">
        <v>0</v>
      </c>
      <c r="BF24" s="29">
        <f>[1]ResumoGeracaoAtual_BAC!H20</f>
        <v>17289623.919208124</v>
      </c>
      <c r="BG24" s="29">
        <v>0</v>
      </c>
      <c r="BH24" s="29">
        <v>0</v>
      </c>
      <c r="BI24" s="29">
        <f>[1]ResumoGeracaoAtual_BAC!AX20</f>
        <v>15964285.290942112</v>
      </c>
      <c r="BJ24" s="183">
        <f t="shared" si="8"/>
        <v>535197722.13081002</v>
      </c>
      <c r="BK24" s="183">
        <f t="shared" si="9"/>
        <v>5987537.2865599999</v>
      </c>
      <c r="BL24" s="183">
        <f>$BO$9+SUMPRODUCT($D$10:D24,$BK$10:BK24)</f>
        <v>355136748.93943697</v>
      </c>
      <c r="BM24" s="30">
        <f t="shared" si="10"/>
        <v>4.3</v>
      </c>
      <c r="BN24" s="183">
        <f t="shared" si="13"/>
        <v>27285170.89457</v>
      </c>
      <c r="BO24" s="184">
        <f t="shared" si="11"/>
        <v>667811566.19446003</v>
      </c>
      <c r="BP24" s="41">
        <f t="shared" si="14"/>
        <v>280014464.8180691</v>
      </c>
      <c r="BQ24" s="41">
        <f t="shared" si="15"/>
        <v>4060209739.8620019</v>
      </c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185">
        <f t="shared" si="12"/>
        <v>16</v>
      </c>
      <c r="B25" s="186">
        <f t="shared" si="12"/>
        <v>2035</v>
      </c>
      <c r="C25" s="29">
        <v>4.3</v>
      </c>
      <c r="D25" s="183">
        <f t="shared" si="16"/>
        <v>0.50985000000000003</v>
      </c>
      <c r="E25" s="29">
        <f>[1]ResumoGeracaoAtual_BAC!B21</f>
        <v>265861652.53981647</v>
      </c>
      <c r="F25" s="183">
        <f t="shared" si="0"/>
        <v>14260888.977399999</v>
      </c>
      <c r="G25" s="29">
        <f>[1]ResumoGeracaoAtual_BC!F21</f>
        <v>14260888.977401061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83">
        <f t="shared" si="1"/>
        <v>79758498.658999994</v>
      </c>
      <c r="N25" s="29">
        <f>[1]ResumoGeracaoAtual_BAC!C21</f>
        <v>79758498.658997536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183">
        <f t="shared" si="2"/>
        <v>37220631.523149997</v>
      </c>
      <c r="V25" s="29">
        <f>[1]ResumoGeracaoAtual_BAC!E21</f>
        <v>37220631.523145139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183">
        <f t="shared" si="3"/>
        <v>1153645.77171</v>
      </c>
      <c r="AD25" s="29">
        <f>[1]ResumoGeracaoAtual_BAC!AS21</f>
        <v>1153645.7717080961</v>
      </c>
      <c r="AE25" s="29">
        <v>0</v>
      </c>
      <c r="AF25" s="29">
        <v>0</v>
      </c>
      <c r="AG25" s="29">
        <v>0</v>
      </c>
      <c r="AH25" s="183">
        <f t="shared" si="4"/>
        <v>3268075.9029700002</v>
      </c>
      <c r="AI25" s="29">
        <f>[1]ResumoGeracaoAtual_BAC!AT21</f>
        <v>3268075.9029739052</v>
      </c>
      <c r="AJ25" s="29">
        <v>0</v>
      </c>
      <c r="AK25" s="29">
        <v>0</v>
      </c>
      <c r="AL25" s="29">
        <v>0</v>
      </c>
      <c r="AM25" s="29">
        <v>0</v>
      </c>
      <c r="AN25" s="29">
        <f>[1]ResumoGeracaoAtual_BAC!Q21</f>
        <v>67964364.576535776</v>
      </c>
      <c r="AO25" s="29">
        <v>0</v>
      </c>
      <c r="AP25" s="29">
        <v>0</v>
      </c>
      <c r="AQ25" s="29">
        <f>SUM([1]ProjecoesAtuariais_Resumo!E21:J21)</f>
        <v>395424207.07999998</v>
      </c>
      <c r="AR25" s="183">
        <f t="shared" si="5"/>
        <v>599050312.49076998</v>
      </c>
      <c r="AS25" s="183">
        <f t="shared" si="6"/>
        <v>370168157.70121998</v>
      </c>
      <c r="AT25" s="29">
        <f>[1]ResumoGeracaoAtual_BC!B21</f>
        <v>252934229.16694838</v>
      </c>
      <c r="AU25" s="29">
        <v>0</v>
      </c>
      <c r="AV25" s="29">
        <v>0</v>
      </c>
      <c r="AW25" s="29">
        <v>0</v>
      </c>
      <c r="AX25" s="29">
        <f>[1]ResumoGeracaoAtual_BC!C21</f>
        <v>117233928.53427519</v>
      </c>
      <c r="AY25" s="29">
        <v>0</v>
      </c>
      <c r="AZ25" s="183">
        <f t="shared" si="7"/>
        <v>155615789.51984</v>
      </c>
      <c r="BA25" s="29">
        <f>[1]ResumoGeracaoAtual_BAC!G21</f>
        <v>121143144.20414555</v>
      </c>
      <c r="BB25" s="29">
        <v>0</v>
      </c>
      <c r="BC25" s="29">
        <v>0</v>
      </c>
      <c r="BD25" s="29">
        <v>0</v>
      </c>
      <c r="BE25" s="29">
        <v>0</v>
      </c>
      <c r="BF25" s="29">
        <f>[1]ResumoGeracaoAtual_BAC!H21</f>
        <v>18950182.575280823</v>
      </c>
      <c r="BG25" s="29">
        <v>0</v>
      </c>
      <c r="BH25" s="29">
        <v>0</v>
      </c>
      <c r="BI25" s="29">
        <f>[1]ResumoGeracaoAtual_BAC!AX21</f>
        <v>15522462.74040933</v>
      </c>
      <c r="BJ25" s="183">
        <f t="shared" si="8"/>
        <v>525783947.22105998</v>
      </c>
      <c r="BK25" s="183">
        <f t="shared" si="9"/>
        <v>73266365.269710004</v>
      </c>
      <c r="BL25" s="183">
        <f>$BO$9+SUMPRODUCT($D$10:D25,$BK$10:BK25)</f>
        <v>392491605.27219862</v>
      </c>
      <c r="BM25" s="30">
        <f t="shared" si="10"/>
        <v>4.3</v>
      </c>
      <c r="BN25" s="183">
        <f t="shared" si="13"/>
        <v>28715897.346360002</v>
      </c>
      <c r="BO25" s="184">
        <f t="shared" si="11"/>
        <v>769793828.81052995</v>
      </c>
      <c r="BP25" s="41">
        <f t="shared" si="14"/>
        <v>264051096.09140429</v>
      </c>
      <c r="BQ25" s="41">
        <f t="shared" si="15"/>
        <v>4092791989.4167666</v>
      </c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185">
        <f t="shared" si="12"/>
        <v>17</v>
      </c>
      <c r="B26" s="186">
        <f t="shared" si="12"/>
        <v>2036</v>
      </c>
      <c r="C26" s="29">
        <v>4.3</v>
      </c>
      <c r="D26" s="183">
        <f t="shared" si="16"/>
        <v>0.48882999999999999</v>
      </c>
      <c r="E26" s="29">
        <f>[1]ResumoGeracaoAtual_BAC!B22</f>
        <v>250754065.0385035</v>
      </c>
      <c r="F26" s="183">
        <f t="shared" si="0"/>
        <v>13254229.418570001</v>
      </c>
      <c r="G26" s="29">
        <f>[1]ResumoGeracaoAtual_BC!F22</f>
        <v>13254229.418573674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83">
        <f t="shared" si="1"/>
        <v>75226222.957540005</v>
      </c>
      <c r="N26" s="29">
        <f>[1]ResumoGeracaoAtual_BAC!C22</f>
        <v>75226222.957537636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183">
        <f t="shared" si="2"/>
        <v>35105569.196089998</v>
      </c>
      <c r="V26" s="29">
        <f>[1]ResumoGeracaoAtual_BAC!E22</f>
        <v>35105569.196090668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183">
        <f t="shared" si="3"/>
        <v>1280682.65607</v>
      </c>
      <c r="AD26" s="29">
        <f>[1]ResumoGeracaoAtual_BAC!AS22</f>
        <v>1280682.6560694256</v>
      </c>
      <c r="AE26" s="29">
        <v>0</v>
      </c>
      <c r="AF26" s="29">
        <v>0</v>
      </c>
      <c r="AG26" s="29">
        <v>0</v>
      </c>
      <c r="AH26" s="183">
        <f t="shared" si="4"/>
        <v>3232398.6793800001</v>
      </c>
      <c r="AI26" s="29">
        <f>[1]ResumoGeracaoAtual_BAC!AT22</f>
        <v>3232398.6793822423</v>
      </c>
      <c r="AJ26" s="29">
        <v>0</v>
      </c>
      <c r="AK26" s="29">
        <v>0</v>
      </c>
      <c r="AL26" s="29">
        <v>0</v>
      </c>
      <c r="AM26" s="29">
        <v>0</v>
      </c>
      <c r="AN26" s="29">
        <f>[1]ResumoGeracaoAtual_BAC!Q22</f>
        <v>72458375.713097841</v>
      </c>
      <c r="AO26" s="29">
        <v>0</v>
      </c>
      <c r="AP26" s="29">
        <v>0</v>
      </c>
      <c r="AQ26" s="29">
        <f>SUM([1]ProjecoesAtuariais_Resumo!E22:J22)</f>
        <v>330282804.72000003</v>
      </c>
      <c r="AR26" s="183">
        <f t="shared" si="5"/>
        <v>530840283.34074998</v>
      </c>
      <c r="AS26" s="183">
        <f t="shared" si="6"/>
        <v>348020976.57562</v>
      </c>
      <c r="AT26" s="29">
        <f>[1]ResumoGeracaoAtual_BC!B22</f>
        <v>235278843.65379307</v>
      </c>
      <c r="AU26" s="29">
        <v>0</v>
      </c>
      <c r="AV26" s="29">
        <v>0</v>
      </c>
      <c r="AW26" s="29">
        <v>0</v>
      </c>
      <c r="AX26" s="29">
        <f>[1]ResumoGeracaoAtual_BC!C22</f>
        <v>112742132.92182949</v>
      </c>
      <c r="AY26" s="29">
        <v>0</v>
      </c>
      <c r="AZ26" s="183">
        <f t="shared" si="7"/>
        <v>169342682.26179999</v>
      </c>
      <c r="BA26" s="29">
        <f>[1]ResumoGeracaoAtual_BAC!G22</f>
        <v>133603393.60308845</v>
      </c>
      <c r="BB26" s="29">
        <v>0</v>
      </c>
      <c r="BC26" s="29">
        <v>0</v>
      </c>
      <c r="BD26" s="29">
        <v>0</v>
      </c>
      <c r="BE26" s="29">
        <v>0</v>
      </c>
      <c r="BF26" s="29">
        <f>[1]ResumoGeracaoAtual_BAC!H22</f>
        <v>20678156.818003219</v>
      </c>
      <c r="BG26" s="29">
        <v>0</v>
      </c>
      <c r="BH26" s="29">
        <v>0</v>
      </c>
      <c r="BI26" s="29">
        <f>[1]ResumoGeracaoAtual_BAC!AX22</f>
        <v>15061131.840704355</v>
      </c>
      <c r="BJ26" s="183">
        <f t="shared" si="8"/>
        <v>517363658.83741999</v>
      </c>
      <c r="BK26" s="183">
        <f t="shared" si="9"/>
        <v>13476624.50333</v>
      </c>
      <c r="BL26" s="183">
        <f>$BO$9+SUMPRODUCT($D$10:D26,$BK$10:BK26)</f>
        <v>399079383.62816143</v>
      </c>
      <c r="BM26" s="30">
        <f t="shared" si="10"/>
        <v>4.3</v>
      </c>
      <c r="BN26" s="183">
        <f t="shared" si="13"/>
        <v>33101134.63885</v>
      </c>
      <c r="BO26" s="184">
        <f t="shared" si="11"/>
        <v>816371587.95271003</v>
      </c>
      <c r="BP26" s="41">
        <f t="shared" si="14"/>
        <v>249418214.59409836</v>
      </c>
      <c r="BQ26" s="41">
        <f t="shared" si="15"/>
        <v>4115400540.8026228</v>
      </c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185">
        <f t="shared" ref="A27:B42" si="17">A26+1</f>
        <v>18</v>
      </c>
      <c r="B27" s="186">
        <f t="shared" si="17"/>
        <v>2037</v>
      </c>
      <c r="C27" s="29">
        <v>4.3</v>
      </c>
      <c r="D27" s="183">
        <f t="shared" si="16"/>
        <v>0.46867999999999999</v>
      </c>
      <c r="E27" s="29">
        <f>[1]ResumoGeracaoAtual_BAC!B23</f>
        <v>235136332.15056849</v>
      </c>
      <c r="F27" s="183">
        <f t="shared" si="0"/>
        <v>12263669.43701</v>
      </c>
      <c r="G27" s="29">
        <f>[1]ResumoGeracaoAtual_BC!F23</f>
        <v>12263669.437007165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83">
        <f t="shared" si="1"/>
        <v>70540902.424099997</v>
      </c>
      <c r="N27" s="29">
        <f>[1]ResumoGeracaoAtual_BAC!C23</f>
        <v>70540902.424098998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183">
        <f t="shared" si="2"/>
        <v>32919086.531160001</v>
      </c>
      <c r="V27" s="29">
        <f>[1]ResumoGeracaoAtual_BAC!E23</f>
        <v>32919086.531162053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183">
        <f t="shared" si="3"/>
        <v>1407091.53101</v>
      </c>
      <c r="AD27" s="29">
        <f>[1]ResumoGeracaoAtual_BAC!AS23</f>
        <v>1407091.5310141363</v>
      </c>
      <c r="AE27" s="29">
        <v>0</v>
      </c>
      <c r="AF27" s="29">
        <v>0</v>
      </c>
      <c r="AG27" s="29">
        <v>0</v>
      </c>
      <c r="AH27" s="183">
        <f t="shared" si="4"/>
        <v>3171865.7912400002</v>
      </c>
      <c r="AI27" s="29">
        <f>[1]ResumoGeracaoAtual_BAC!AT23</f>
        <v>3171865.7912400588</v>
      </c>
      <c r="AJ27" s="29">
        <v>0</v>
      </c>
      <c r="AK27" s="29">
        <v>0</v>
      </c>
      <c r="AL27" s="29">
        <v>0</v>
      </c>
      <c r="AM27" s="29">
        <v>0</v>
      </c>
      <c r="AN27" s="29">
        <f>[1]ResumoGeracaoAtual_BAC!Q23</f>
        <v>76847961.509176999</v>
      </c>
      <c r="AO27" s="29">
        <v>0</v>
      </c>
      <c r="AP27" s="29">
        <v>0</v>
      </c>
      <c r="AQ27" s="29">
        <f>SUM([1]ProjecoesAtuariais_Resumo!E23:J23)</f>
        <v>320000000</v>
      </c>
      <c r="AR27" s="183">
        <f t="shared" si="5"/>
        <v>517150577.22369999</v>
      </c>
      <c r="AS27" s="183">
        <f t="shared" si="6"/>
        <v>325599298.75292999</v>
      </c>
      <c r="AT27" s="29">
        <f>[1]ResumoGeracaoAtual_BC!B23</f>
        <v>217850197.49032107</v>
      </c>
      <c r="AU27" s="29">
        <v>0</v>
      </c>
      <c r="AV27" s="29">
        <v>0</v>
      </c>
      <c r="AW27" s="29">
        <v>0</v>
      </c>
      <c r="AX27" s="29">
        <f>[1]ResumoGeracaoAtual_BC!C23</f>
        <v>107749101.26260491</v>
      </c>
      <c r="AY27" s="29">
        <v>0</v>
      </c>
      <c r="AZ27" s="183">
        <f t="shared" si="7"/>
        <v>183211749.05665001</v>
      </c>
      <c r="BA27" s="29">
        <f>[1]ResumoGeracaoAtual_BAC!G23</f>
        <v>146154177.92358226</v>
      </c>
      <c r="BB27" s="29">
        <v>0</v>
      </c>
      <c r="BC27" s="29">
        <v>0</v>
      </c>
      <c r="BD27" s="29">
        <v>0</v>
      </c>
      <c r="BE27" s="29">
        <v>0</v>
      </c>
      <c r="BF27" s="29">
        <f>[1]ResumoGeracaoAtual_BAC!H23</f>
        <v>22470367.604433104</v>
      </c>
      <c r="BG27" s="29">
        <v>0</v>
      </c>
      <c r="BH27" s="29">
        <v>0</v>
      </c>
      <c r="BI27" s="29">
        <f>[1]ResumoGeracaoAtual_BAC!AX23</f>
        <v>14587203.528630197</v>
      </c>
      <c r="BJ27" s="183">
        <f t="shared" si="8"/>
        <v>508811047.80958003</v>
      </c>
      <c r="BK27" s="183">
        <f t="shared" si="9"/>
        <v>8339529.4141199999</v>
      </c>
      <c r="BL27" s="183">
        <f>$BO$9+SUMPRODUCT($D$10:D27,$BK$10:BK27)</f>
        <v>402987954.2739712</v>
      </c>
      <c r="BM27" s="30">
        <f t="shared" si="10"/>
        <v>4.3</v>
      </c>
      <c r="BN27" s="183">
        <f t="shared" si="13"/>
        <v>35103978.281970002</v>
      </c>
      <c r="BO27" s="184">
        <f t="shared" si="11"/>
        <v>859815095.64880002</v>
      </c>
      <c r="BP27" s="41">
        <f t="shared" si="14"/>
        <v>235484230.45718613</v>
      </c>
      <c r="BQ27" s="41">
        <f t="shared" si="15"/>
        <v>4120974033.0007572</v>
      </c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185">
        <f t="shared" si="17"/>
        <v>19</v>
      </c>
      <c r="B28" s="186">
        <f t="shared" si="17"/>
        <v>2038</v>
      </c>
      <c r="C28" s="29">
        <v>4.3</v>
      </c>
      <c r="D28" s="183">
        <f t="shared" si="16"/>
        <v>0.44935999999999998</v>
      </c>
      <c r="E28" s="29">
        <f>[1]ResumoGeracaoAtual_BAC!B24</f>
        <v>219228285.11431175</v>
      </c>
      <c r="F28" s="183">
        <f t="shared" si="0"/>
        <v>11293027.11741</v>
      </c>
      <c r="G28" s="29">
        <f>[1]ResumoGeracaoAtual_BC!F24</f>
        <v>11293027.117406273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83">
        <f t="shared" si="1"/>
        <v>65768488.298330002</v>
      </c>
      <c r="N28" s="29">
        <f>[1]ResumoGeracaoAtual_BAC!C24</f>
        <v>65768488.298330724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183">
        <f t="shared" si="2"/>
        <v>30691959.872389998</v>
      </c>
      <c r="V28" s="29">
        <f>[1]ResumoGeracaoAtual_BAC!E24</f>
        <v>30691959.872387744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183">
        <f t="shared" si="3"/>
        <v>1511813.7953999999</v>
      </c>
      <c r="AD28" s="29">
        <f>[1]ResumoGeracaoAtual_BAC!AS24</f>
        <v>1511813.7954040337</v>
      </c>
      <c r="AE28" s="29">
        <v>0</v>
      </c>
      <c r="AF28" s="29">
        <v>0</v>
      </c>
      <c r="AG28" s="29">
        <v>0</v>
      </c>
      <c r="AH28" s="183">
        <f t="shared" si="4"/>
        <v>3087977.0094300001</v>
      </c>
      <c r="AI28" s="29">
        <f>[1]ResumoGeracaoAtual_BAC!AT24</f>
        <v>3087977.0094258562</v>
      </c>
      <c r="AJ28" s="29">
        <v>0</v>
      </c>
      <c r="AK28" s="29">
        <v>0</v>
      </c>
      <c r="AL28" s="29">
        <v>0</v>
      </c>
      <c r="AM28" s="29">
        <v>0</v>
      </c>
      <c r="AN28" s="29">
        <f>[1]ResumoGeracaoAtual_BAC!Q24</f>
        <v>80556821.094565645</v>
      </c>
      <c r="AO28" s="29">
        <v>0</v>
      </c>
      <c r="AP28" s="29">
        <v>0</v>
      </c>
      <c r="AQ28" s="29">
        <f>SUM([1]ProjecoesAtuariais_Resumo!E24:J24)</f>
        <v>320000000</v>
      </c>
      <c r="AR28" s="183">
        <f t="shared" si="5"/>
        <v>512910087.18752998</v>
      </c>
      <c r="AS28" s="183">
        <f t="shared" si="6"/>
        <v>303032630.31194001</v>
      </c>
      <c r="AT28" s="29">
        <f>[1]ResumoGeracaoAtual_BC!B24</f>
        <v>200728344.94764715</v>
      </c>
      <c r="AU28" s="29">
        <v>0</v>
      </c>
      <c r="AV28" s="29">
        <v>0</v>
      </c>
      <c r="AW28" s="29">
        <v>0</v>
      </c>
      <c r="AX28" s="29">
        <f>[1]ResumoGeracaoAtual_BC!C24</f>
        <v>102304285.36428949</v>
      </c>
      <c r="AY28" s="29">
        <v>0</v>
      </c>
      <c r="AZ28" s="183">
        <f t="shared" si="7"/>
        <v>197052458.29234001</v>
      </c>
      <c r="BA28" s="29">
        <f>[1]ResumoGeracaoAtual_BAC!G24</f>
        <v>158627363.35646743</v>
      </c>
      <c r="BB28" s="29">
        <v>0</v>
      </c>
      <c r="BC28" s="29">
        <v>0</v>
      </c>
      <c r="BD28" s="29">
        <v>0</v>
      </c>
      <c r="BE28" s="29">
        <v>0</v>
      </c>
      <c r="BF28" s="29">
        <f>[1]ResumoGeracaoAtual_BAC!H24</f>
        <v>24320911.137463592</v>
      </c>
      <c r="BG28" s="29">
        <v>0</v>
      </c>
      <c r="BH28" s="29">
        <v>0</v>
      </c>
      <c r="BI28" s="29">
        <f>[1]ResumoGeracaoAtual_BAC!AX24</f>
        <v>14104183.798403587</v>
      </c>
      <c r="BJ28" s="183">
        <f t="shared" si="8"/>
        <v>500085088.60427999</v>
      </c>
      <c r="BK28" s="183">
        <f t="shared" si="9"/>
        <v>12824998.583249999</v>
      </c>
      <c r="BL28" s="183">
        <f>$BO$9+SUMPRODUCT($D$10:D28,$BK$10:BK28)</f>
        <v>408750995.63734043</v>
      </c>
      <c r="BM28" s="30">
        <f t="shared" si="10"/>
        <v>4.3</v>
      </c>
      <c r="BN28" s="183">
        <f t="shared" si="13"/>
        <v>36972049.112899996</v>
      </c>
      <c r="BO28" s="184">
        <f t="shared" si="11"/>
        <v>909612143.34494996</v>
      </c>
      <c r="BP28" s="41">
        <f t="shared" si="14"/>
        <v>222207210.00866053</v>
      </c>
      <c r="BQ28" s="41">
        <f t="shared" si="15"/>
        <v>4110833385.1602197</v>
      </c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185">
        <f t="shared" si="17"/>
        <v>20</v>
      </c>
      <c r="B29" s="186">
        <f t="shared" si="17"/>
        <v>2039</v>
      </c>
      <c r="C29" s="29">
        <v>4.3</v>
      </c>
      <c r="D29" s="183">
        <f t="shared" si="16"/>
        <v>0.43082999999999999</v>
      </c>
      <c r="E29" s="29">
        <f>[1]ResumoGeracaoAtual_BAC!B25</f>
        <v>203671911.96513847</v>
      </c>
      <c r="F29" s="183">
        <f t="shared" si="0"/>
        <v>10347226.758439999</v>
      </c>
      <c r="G29" s="29">
        <f>[1]ResumoGeracaoAtual_BC!F25</f>
        <v>10347226.758440224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83">
        <f t="shared" si="1"/>
        <v>61101575.93135</v>
      </c>
      <c r="N29" s="29">
        <f>[1]ResumoGeracaoAtual_BAC!C25</f>
        <v>61101575.931354478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183">
        <f t="shared" si="2"/>
        <v>28514067.852499999</v>
      </c>
      <c r="V29" s="29">
        <f>[1]ResumoGeracaoAtual_BAC!E25</f>
        <v>28514067.852498136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183">
        <f t="shared" si="3"/>
        <v>1615614.24186</v>
      </c>
      <c r="AD29" s="29">
        <f>[1]ResumoGeracaoAtual_BAC!AS25</f>
        <v>1615614.2418599685</v>
      </c>
      <c r="AE29" s="29">
        <v>0</v>
      </c>
      <c r="AF29" s="29">
        <v>0</v>
      </c>
      <c r="AG29" s="29">
        <v>0</v>
      </c>
      <c r="AH29" s="183">
        <f t="shared" si="4"/>
        <v>2982602.0110200001</v>
      </c>
      <c r="AI29" s="29">
        <f>[1]ResumoGeracaoAtual_BAC!AT25</f>
        <v>2982602.011017486</v>
      </c>
      <c r="AJ29" s="29">
        <v>0</v>
      </c>
      <c r="AK29" s="29">
        <v>0</v>
      </c>
      <c r="AL29" s="29">
        <v>0</v>
      </c>
      <c r="AM29" s="29">
        <v>0</v>
      </c>
      <c r="AN29" s="29">
        <f>[1]ResumoGeracaoAtual_BAC!Q25</f>
        <v>83789306.313794106</v>
      </c>
      <c r="AO29" s="29">
        <v>0</v>
      </c>
      <c r="AP29" s="29">
        <v>0</v>
      </c>
      <c r="AQ29" s="29">
        <f>SUM([1]ProjecoesAtuariais_Resumo!E25:J25)</f>
        <v>320000000</v>
      </c>
      <c r="AR29" s="183">
        <f t="shared" si="5"/>
        <v>508350393.10895997</v>
      </c>
      <c r="AS29" s="183">
        <f t="shared" si="6"/>
        <v>280467196.46147001</v>
      </c>
      <c r="AT29" s="29">
        <f>[1]ResumoGeracaoAtual_BC!B25</f>
        <v>183989680.86369035</v>
      </c>
      <c r="AU29" s="29">
        <v>0</v>
      </c>
      <c r="AV29" s="29">
        <v>0</v>
      </c>
      <c r="AW29" s="29">
        <v>0</v>
      </c>
      <c r="AX29" s="29">
        <f>[1]ResumoGeracaoAtual_BC!C25</f>
        <v>96477515.597779959</v>
      </c>
      <c r="AY29" s="29">
        <v>0</v>
      </c>
      <c r="AZ29" s="183">
        <f t="shared" si="7"/>
        <v>210233339.14991</v>
      </c>
      <c r="BA29" s="29">
        <f>[1]ResumoGeracaoAtual_BAC!G25</f>
        <v>170396274.3858209</v>
      </c>
      <c r="BB29" s="29">
        <v>0</v>
      </c>
      <c r="BC29" s="29">
        <v>0</v>
      </c>
      <c r="BD29" s="29">
        <v>0</v>
      </c>
      <c r="BE29" s="29">
        <v>0</v>
      </c>
      <c r="BF29" s="29">
        <f>[1]ResumoGeracaoAtual_BAC!H25</f>
        <v>26221918.733171914</v>
      </c>
      <c r="BG29" s="29">
        <v>0</v>
      </c>
      <c r="BH29" s="29">
        <v>0</v>
      </c>
      <c r="BI29" s="29">
        <f>[1]ResumoGeracaoAtual_BAC!AX25</f>
        <v>13615146.030912032</v>
      </c>
      <c r="BJ29" s="183">
        <f t="shared" si="8"/>
        <v>490700535.61137998</v>
      </c>
      <c r="BK29" s="183">
        <f t="shared" si="9"/>
        <v>17649857.497579999</v>
      </c>
      <c r="BL29" s="183">
        <f>$BO$9+SUMPRODUCT($D$10:D29,$BK$10:BK29)</f>
        <v>416355083.7430228</v>
      </c>
      <c r="BM29" s="30">
        <f t="shared" si="10"/>
        <v>4.3</v>
      </c>
      <c r="BN29" s="183">
        <f t="shared" si="13"/>
        <v>39113322.163829997</v>
      </c>
      <c r="BO29" s="184">
        <f t="shared" si="11"/>
        <v>966375323.00636005</v>
      </c>
      <c r="BP29" s="41">
        <f t="shared" si="14"/>
        <v>209333835.8003265</v>
      </c>
      <c r="BQ29" s="41">
        <f t="shared" si="15"/>
        <v>4082009798.1063666</v>
      </c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185">
        <f t="shared" si="17"/>
        <v>21</v>
      </c>
      <c r="B30" s="186">
        <f t="shared" si="17"/>
        <v>2040</v>
      </c>
      <c r="C30" s="29">
        <v>4.3</v>
      </c>
      <c r="D30" s="183">
        <f t="shared" si="16"/>
        <v>0.41306999999999999</v>
      </c>
      <c r="E30" s="29">
        <f>[1]ResumoGeracaoAtual_BAC!B26</f>
        <v>185709719.46916857</v>
      </c>
      <c r="F30" s="183">
        <f t="shared" si="0"/>
        <v>9430612.9310599994</v>
      </c>
      <c r="G30" s="29">
        <f>[1]ResumoGeracaoAtual_BC!F26</f>
        <v>9430612.9310636818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83">
        <f t="shared" si="1"/>
        <v>55712917.899149999</v>
      </c>
      <c r="N30" s="29">
        <f>[1]ResumoGeracaoAtual_BAC!C26</f>
        <v>55712917.899144992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183">
        <f t="shared" si="2"/>
        <v>25999360.725919999</v>
      </c>
      <c r="V30" s="29">
        <f>[1]ResumoGeracaoAtual_BAC!E26</f>
        <v>25999360.725923955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183">
        <f t="shared" si="3"/>
        <v>1745634.5249099999</v>
      </c>
      <c r="AD30" s="29">
        <f>[1]ResumoGeracaoAtual_BAC!AS26</f>
        <v>1745634.5249112721</v>
      </c>
      <c r="AE30" s="29">
        <v>0</v>
      </c>
      <c r="AF30" s="29">
        <v>0</v>
      </c>
      <c r="AG30" s="29">
        <v>0</v>
      </c>
      <c r="AH30" s="183">
        <f t="shared" si="4"/>
        <v>2858233.4299699999</v>
      </c>
      <c r="AI30" s="29">
        <f>[1]ResumoGeracaoAtual_BAC!AT26</f>
        <v>2858233.4299746826</v>
      </c>
      <c r="AJ30" s="29">
        <v>0</v>
      </c>
      <c r="AK30" s="29">
        <v>0</v>
      </c>
      <c r="AL30" s="29">
        <v>0</v>
      </c>
      <c r="AM30" s="29">
        <v>0</v>
      </c>
      <c r="AN30" s="29">
        <f>[1]ResumoGeracaoAtual_BAC!Q26</f>
        <v>87262928.162687182</v>
      </c>
      <c r="AO30" s="29">
        <v>0</v>
      </c>
      <c r="AP30" s="29">
        <v>0</v>
      </c>
      <c r="AQ30" s="29">
        <f>SUM([1]ProjecoesAtuariais_Resumo!E26:J26)</f>
        <v>380000000</v>
      </c>
      <c r="AR30" s="183">
        <f t="shared" si="5"/>
        <v>563009687.67369998</v>
      </c>
      <c r="AS30" s="183">
        <f t="shared" si="6"/>
        <v>258050831.67092001</v>
      </c>
      <c r="AT30" s="29">
        <f>[1]ResumoGeracaoAtual_BC!B26</f>
        <v>167709853.73986724</v>
      </c>
      <c r="AU30" s="29">
        <v>0</v>
      </c>
      <c r="AV30" s="29">
        <v>0</v>
      </c>
      <c r="AW30" s="29">
        <v>0</v>
      </c>
      <c r="AX30" s="29">
        <f>[1]ResumoGeracaoAtual_BC!C26</f>
        <v>90340977.931056514</v>
      </c>
      <c r="AY30" s="29">
        <v>0</v>
      </c>
      <c r="AZ30" s="183">
        <f t="shared" si="7"/>
        <v>225057732.93913999</v>
      </c>
      <c r="BA30" s="29">
        <f>[1]ResumoGeracaoAtual_BAC!G26</f>
        <v>183774328.51846543</v>
      </c>
      <c r="BB30" s="29">
        <v>0</v>
      </c>
      <c r="BC30" s="29">
        <v>0</v>
      </c>
      <c r="BD30" s="29">
        <v>0</v>
      </c>
      <c r="BE30" s="29">
        <v>0</v>
      </c>
      <c r="BF30" s="29">
        <f>[1]ResumoGeracaoAtual_BAC!H26</f>
        <v>28169320.419116076</v>
      </c>
      <c r="BG30" s="29">
        <v>0</v>
      </c>
      <c r="BH30" s="29">
        <v>0</v>
      </c>
      <c r="BI30" s="29">
        <f>[1]ResumoGeracaoAtual_BAC!AX26</f>
        <v>13114084.001553478</v>
      </c>
      <c r="BJ30" s="183">
        <f t="shared" si="8"/>
        <v>483108564.61005998</v>
      </c>
      <c r="BK30" s="183">
        <f t="shared" si="9"/>
        <v>79901123.063639998</v>
      </c>
      <c r="BL30" s="183">
        <f>$BO$9+SUMPRODUCT($D$10:D30,$BK$10:BK30)</f>
        <v>449359840.64692056</v>
      </c>
      <c r="BM30" s="30">
        <f t="shared" si="10"/>
        <v>4.3</v>
      </c>
      <c r="BN30" s="183">
        <f t="shared" si="13"/>
        <v>41554138.88927</v>
      </c>
      <c r="BO30" s="184">
        <f t="shared" si="11"/>
        <v>1087830584.95927</v>
      </c>
      <c r="BP30" s="41">
        <f t="shared" si="14"/>
        <v>197885109.77526745</v>
      </c>
      <c r="BQ30" s="41">
        <f t="shared" si="15"/>
        <v>4056644750.392983</v>
      </c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185">
        <f t="shared" si="17"/>
        <v>22</v>
      </c>
      <c r="B31" s="186">
        <f t="shared" si="17"/>
        <v>2041</v>
      </c>
      <c r="C31" s="29">
        <v>4.3</v>
      </c>
      <c r="D31" s="183">
        <f t="shared" si="16"/>
        <v>0.39604</v>
      </c>
      <c r="E31" s="29">
        <f>[1]ResumoGeracaoAtual_BAC!B27</f>
        <v>167941626.24216717</v>
      </c>
      <c r="F31" s="183">
        <f t="shared" si="0"/>
        <v>8546470.2479899991</v>
      </c>
      <c r="G31" s="29">
        <f>[1]ResumoGeracaoAtual_BC!F27</f>
        <v>8546470.2479899414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83">
        <f t="shared" si="1"/>
        <v>50382489.883249998</v>
      </c>
      <c r="N31" s="29">
        <f>[1]ResumoGeracaoAtual_BAC!C27</f>
        <v>50382489.883246951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183">
        <f t="shared" si="2"/>
        <v>23511827.740309998</v>
      </c>
      <c r="V31" s="29">
        <f>[1]ResumoGeracaoAtual_BAC!E27</f>
        <v>23511827.740312625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183">
        <f t="shared" si="3"/>
        <v>1873925.9064799999</v>
      </c>
      <c r="AD31" s="29">
        <f>[1]ResumoGeracaoAtual_BAC!AS27</f>
        <v>1873925.906481266</v>
      </c>
      <c r="AE31" s="29">
        <v>0</v>
      </c>
      <c r="AF31" s="29">
        <v>0</v>
      </c>
      <c r="AG31" s="29">
        <v>0</v>
      </c>
      <c r="AH31" s="183">
        <f t="shared" si="4"/>
        <v>2717779.9774600002</v>
      </c>
      <c r="AI31" s="29">
        <f>[1]ResumoGeracaoAtual_BAC!AT27</f>
        <v>2717779.9774594689</v>
      </c>
      <c r="AJ31" s="29">
        <v>0</v>
      </c>
      <c r="AK31" s="29">
        <v>0</v>
      </c>
      <c r="AL31" s="29">
        <v>0</v>
      </c>
      <c r="AM31" s="29">
        <v>0</v>
      </c>
      <c r="AN31" s="29">
        <f>[1]ResumoGeracaoAtual_BAC!Q27</f>
        <v>90065205.428474307</v>
      </c>
      <c r="AO31" s="29">
        <v>0</v>
      </c>
      <c r="AP31" s="29">
        <v>0</v>
      </c>
      <c r="AQ31" s="29">
        <f>SUM([1]ProjecoesAtuariais_Resumo!E27:J27)</f>
        <v>320000000</v>
      </c>
      <c r="AR31" s="183">
        <f t="shared" si="5"/>
        <v>497097699.18396002</v>
      </c>
      <c r="AS31" s="183">
        <f t="shared" si="6"/>
        <v>235925813.88888001</v>
      </c>
      <c r="AT31" s="29">
        <f>[1]ResumoGeracaoAtual_BC!B27</f>
        <v>151962296.99584773</v>
      </c>
      <c r="AU31" s="29">
        <v>0</v>
      </c>
      <c r="AV31" s="29">
        <v>0</v>
      </c>
      <c r="AW31" s="29">
        <v>0</v>
      </c>
      <c r="AX31" s="29">
        <f>[1]ResumoGeracaoAtual_BC!C27</f>
        <v>83963516.893031538</v>
      </c>
      <c r="AY31" s="29">
        <v>0</v>
      </c>
      <c r="AZ31" s="183">
        <f t="shared" si="7"/>
        <v>239226702.62457001</v>
      </c>
      <c r="BA31" s="29">
        <f>[1]ResumoGeracaoAtual_BAC!G27</f>
        <v>196456115.17096466</v>
      </c>
      <c r="BB31" s="29">
        <v>0</v>
      </c>
      <c r="BC31" s="29">
        <v>0</v>
      </c>
      <c r="BD31" s="29">
        <v>0</v>
      </c>
      <c r="BE31" s="29">
        <v>0</v>
      </c>
      <c r="BF31" s="29">
        <f>[1]ResumoGeracaoAtual_BAC!H27</f>
        <v>30160898.379963979</v>
      </c>
      <c r="BG31" s="29">
        <v>0</v>
      </c>
      <c r="BH31" s="29">
        <v>0</v>
      </c>
      <c r="BI31" s="29">
        <f>[1]ResumoGeracaoAtual_BAC!AX27</f>
        <v>12609689.073639503</v>
      </c>
      <c r="BJ31" s="183">
        <f t="shared" si="8"/>
        <v>475152516.51345003</v>
      </c>
      <c r="BK31" s="183">
        <f t="shared" si="9"/>
        <v>21945182.670510001</v>
      </c>
      <c r="BL31" s="183">
        <f>$BO$9+SUMPRODUCT($D$10:D31,$BK$10:BK31)</f>
        <v>458051010.79174936</v>
      </c>
      <c r="BM31" s="30">
        <f t="shared" si="10"/>
        <v>4.3</v>
      </c>
      <c r="BN31" s="183">
        <f t="shared" si="13"/>
        <v>46776715.153250001</v>
      </c>
      <c r="BO31" s="184">
        <f t="shared" si="11"/>
        <v>1156552482.78303</v>
      </c>
      <c r="BP31" s="41">
        <f t="shared" si="14"/>
        <v>186871393.69138017</v>
      </c>
      <c r="BQ31" s="41">
        <f t="shared" si="15"/>
        <v>4017734964.3646736</v>
      </c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185">
        <f t="shared" si="17"/>
        <v>23</v>
      </c>
      <c r="B32" s="186">
        <f t="shared" si="17"/>
        <v>2042</v>
      </c>
      <c r="C32" s="29">
        <v>4.3</v>
      </c>
      <c r="D32" s="183">
        <f t="shared" si="16"/>
        <v>0.37970999999999999</v>
      </c>
      <c r="E32" s="29">
        <f>[1]ResumoGeracaoAtual_BAC!B28</f>
        <v>148260464.10568923</v>
      </c>
      <c r="F32" s="183">
        <f t="shared" si="0"/>
        <v>7698542.0408500005</v>
      </c>
      <c r="G32" s="29">
        <f>[1]ResumoGeracaoAtual_BC!F28</f>
        <v>7698542.0408540796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83">
        <f t="shared" si="1"/>
        <v>44478140.862130001</v>
      </c>
      <c r="N32" s="29">
        <f>[1]ResumoGeracaoAtual_BAC!C28</f>
        <v>44478140.862127319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183">
        <f t="shared" si="2"/>
        <v>20756465.040709998</v>
      </c>
      <c r="V32" s="29">
        <f>[1]ResumoGeracaoAtual_BAC!E28</f>
        <v>20756465.040708683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183">
        <f t="shared" si="3"/>
        <v>2001095.1913600001</v>
      </c>
      <c r="AD32" s="29">
        <f>[1]ResumoGeracaoAtual_BAC!AS28</f>
        <v>2001095.1913593358</v>
      </c>
      <c r="AE32" s="29">
        <v>0</v>
      </c>
      <c r="AF32" s="29">
        <v>0</v>
      </c>
      <c r="AG32" s="29">
        <v>0</v>
      </c>
      <c r="AH32" s="183">
        <f t="shared" si="4"/>
        <v>2564216.10359</v>
      </c>
      <c r="AI32" s="29">
        <f>[1]ResumoGeracaoAtual_BAC!AT28</f>
        <v>2564216.1035940652</v>
      </c>
      <c r="AJ32" s="29">
        <v>0</v>
      </c>
      <c r="AK32" s="29">
        <v>0</v>
      </c>
      <c r="AL32" s="29">
        <v>0</v>
      </c>
      <c r="AM32" s="29">
        <v>0</v>
      </c>
      <c r="AN32" s="29">
        <f>[1]ResumoGeracaoAtual_BAC!Q28</f>
        <v>92771075.39268595</v>
      </c>
      <c r="AO32" s="29">
        <v>0</v>
      </c>
      <c r="AP32" s="29">
        <v>0</v>
      </c>
      <c r="AQ32" s="29">
        <f>SUM([1]ProjecoesAtuariais_Resumo!E28:J28)</f>
        <v>320000000</v>
      </c>
      <c r="AR32" s="183">
        <f t="shared" si="5"/>
        <v>490269534.63133001</v>
      </c>
      <c r="AS32" s="183">
        <f t="shared" si="6"/>
        <v>214239756.82069999</v>
      </c>
      <c r="AT32" s="29">
        <f>[1]ResumoGeracaoAtual_BC!B28</f>
        <v>136816710.0454092</v>
      </c>
      <c r="AU32" s="29">
        <v>0</v>
      </c>
      <c r="AV32" s="29">
        <v>0</v>
      </c>
      <c r="AW32" s="29">
        <v>0</v>
      </c>
      <c r="AX32" s="29">
        <f>[1]ResumoGeracaoAtual_BC!C28</f>
        <v>77423046.775288641</v>
      </c>
      <c r="AY32" s="29">
        <v>0</v>
      </c>
      <c r="AZ32" s="183">
        <f t="shared" si="7"/>
        <v>254649763.69604</v>
      </c>
      <c r="BA32" s="29">
        <f>[1]ResumoGeracaoAtual_BAC!G28</f>
        <v>210358928.66681656</v>
      </c>
      <c r="BB32" s="29">
        <v>0</v>
      </c>
      <c r="BC32" s="29">
        <v>0</v>
      </c>
      <c r="BD32" s="29">
        <v>0</v>
      </c>
      <c r="BE32" s="29">
        <v>0</v>
      </c>
      <c r="BF32" s="29">
        <f>[1]ResumoGeracaoAtual_BAC!H28</f>
        <v>32189854.938590214</v>
      </c>
      <c r="BG32" s="29">
        <v>0</v>
      </c>
      <c r="BH32" s="29">
        <v>0</v>
      </c>
      <c r="BI32" s="29">
        <f>[1]ResumoGeracaoAtual_BAC!AX28</f>
        <v>12100980.090635877</v>
      </c>
      <c r="BJ32" s="183">
        <f t="shared" si="8"/>
        <v>468889520.51674002</v>
      </c>
      <c r="BK32" s="183">
        <f t="shared" si="9"/>
        <v>21380014.11459</v>
      </c>
      <c r="BL32" s="183">
        <f>$BO$9+SUMPRODUCT($D$10:D32,$BK$10:BK32)</f>
        <v>466169215.95120031</v>
      </c>
      <c r="BM32" s="30">
        <f t="shared" si="10"/>
        <v>4.3</v>
      </c>
      <c r="BN32" s="183">
        <f t="shared" si="13"/>
        <v>49731756.759669997</v>
      </c>
      <c r="BO32" s="184">
        <f t="shared" si="11"/>
        <v>1227664253.65729</v>
      </c>
      <c r="BP32" s="41">
        <f t="shared" si="14"/>
        <v>177077499.28409061</v>
      </c>
      <c r="BQ32" s="41">
        <f t="shared" si="15"/>
        <v>3984243733.8920388</v>
      </c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185">
        <f t="shared" si="17"/>
        <v>24</v>
      </c>
      <c r="B33" s="186">
        <f t="shared" si="17"/>
        <v>2043</v>
      </c>
      <c r="C33" s="29">
        <v>4.3</v>
      </c>
      <c r="D33" s="183">
        <f t="shared" si="16"/>
        <v>0.36405999999999999</v>
      </c>
      <c r="E33" s="29">
        <f>[1]ResumoGeracaoAtual_BAC!B29</f>
        <v>130934677.51479903</v>
      </c>
      <c r="F33" s="183">
        <f t="shared" si="0"/>
        <v>6890973.4409100004</v>
      </c>
      <c r="G33" s="29">
        <f>[1]ResumoGeracaoAtual_BC!F29</f>
        <v>6890973.4409093093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83">
        <f t="shared" si="1"/>
        <v>39280404.828670003</v>
      </c>
      <c r="N33" s="29">
        <f>[1]ResumoGeracaoAtual_BAC!C29</f>
        <v>39280404.828673311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183">
        <f t="shared" si="2"/>
        <v>18330854.928800002</v>
      </c>
      <c r="V33" s="29">
        <f>[1]ResumoGeracaoAtual_BAC!E29</f>
        <v>18330854.928796701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183">
        <f t="shared" si="3"/>
        <v>2132951.8373699998</v>
      </c>
      <c r="AD33" s="29">
        <f>[1]ResumoGeracaoAtual_BAC!AS29</f>
        <v>2132951.8373662075</v>
      </c>
      <c r="AE33" s="29">
        <v>0</v>
      </c>
      <c r="AF33" s="29">
        <v>0</v>
      </c>
      <c r="AG33" s="29">
        <v>0</v>
      </c>
      <c r="AH33" s="183">
        <f t="shared" si="4"/>
        <v>2400422.3163600001</v>
      </c>
      <c r="AI33" s="29">
        <f>[1]ResumoGeracaoAtual_BAC!AT29</f>
        <v>2400422.3163579213</v>
      </c>
      <c r="AJ33" s="29">
        <v>0</v>
      </c>
      <c r="AK33" s="29">
        <v>0</v>
      </c>
      <c r="AL33" s="29">
        <v>0</v>
      </c>
      <c r="AM33" s="29">
        <v>0</v>
      </c>
      <c r="AN33" s="29">
        <f>[1]ResumoGeracaoAtual_BAC!Q29</f>
        <v>94618937.306647107</v>
      </c>
      <c r="AO33" s="29">
        <v>0</v>
      </c>
      <c r="AP33" s="29">
        <v>0</v>
      </c>
      <c r="AQ33" s="29">
        <f>SUM([1]ProjecoesAtuariais_Resumo!E29:J29)</f>
        <v>320000000</v>
      </c>
      <c r="AR33" s="183">
        <f t="shared" si="5"/>
        <v>483654544.65876001</v>
      </c>
      <c r="AS33" s="183">
        <f t="shared" si="6"/>
        <v>193144805.26154</v>
      </c>
      <c r="AT33" s="29">
        <f>[1]ResumoGeracaoAtual_BC!B29</f>
        <v>122336864.69139153</v>
      </c>
      <c r="AU33" s="29">
        <v>0</v>
      </c>
      <c r="AV33" s="29">
        <v>0</v>
      </c>
      <c r="AW33" s="29">
        <v>0</v>
      </c>
      <c r="AX33" s="29">
        <f>[1]ResumoGeracaoAtual_BC!C29</f>
        <v>70807940.570152178</v>
      </c>
      <c r="AY33" s="29">
        <v>0</v>
      </c>
      <c r="AZ33" s="183">
        <f t="shared" si="7"/>
        <v>267519147.90158001</v>
      </c>
      <c r="BA33" s="29">
        <f>[1]ResumoGeracaoAtual_BAC!G29</f>
        <v>221677106.76600245</v>
      </c>
      <c r="BB33" s="29">
        <v>0</v>
      </c>
      <c r="BC33" s="29">
        <v>0</v>
      </c>
      <c r="BD33" s="29">
        <v>0</v>
      </c>
      <c r="BE33" s="29">
        <v>0</v>
      </c>
      <c r="BF33" s="29">
        <f>[1]ResumoGeracaoAtual_BAC!H29</f>
        <v>34242067.985031269</v>
      </c>
      <c r="BG33" s="29">
        <v>0</v>
      </c>
      <c r="BH33" s="29">
        <v>0</v>
      </c>
      <c r="BI33" s="29">
        <f>[1]ResumoGeracaoAtual_BAC!AX29</f>
        <v>11599973.150547529</v>
      </c>
      <c r="BJ33" s="183">
        <f t="shared" si="8"/>
        <v>460663953.16311997</v>
      </c>
      <c r="BK33" s="183">
        <f t="shared" si="9"/>
        <v>22990591.495639998</v>
      </c>
      <c r="BL33" s="183">
        <f>$BO$9+SUMPRODUCT($D$10:D33,$BK$10:BK33)</f>
        <v>474539170.69110298</v>
      </c>
      <c r="BM33" s="30">
        <f t="shared" si="10"/>
        <v>4.3</v>
      </c>
      <c r="BN33" s="183">
        <f t="shared" si="13"/>
        <v>52789562.907260001</v>
      </c>
      <c r="BO33" s="184">
        <f t="shared" si="11"/>
        <v>1303444408.06019</v>
      </c>
      <c r="BP33" s="41">
        <f t="shared" si="14"/>
        <v>167030887.70957357</v>
      </c>
      <c r="BQ33" s="41">
        <f t="shared" si="15"/>
        <v>3925225861.1749787</v>
      </c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185">
        <f t="shared" si="17"/>
        <v>25</v>
      </c>
      <c r="B34" s="186">
        <f t="shared" si="17"/>
        <v>2044</v>
      </c>
      <c r="C34" s="29">
        <v>4.3</v>
      </c>
      <c r="D34" s="183">
        <f t="shared" si="16"/>
        <v>0.34905000000000003</v>
      </c>
      <c r="E34" s="29">
        <f>[1]ResumoGeracaoAtual_BAC!B30</f>
        <v>113438905.74889843</v>
      </c>
      <c r="F34" s="183">
        <f t="shared" si="0"/>
        <v>6125728.8189599998</v>
      </c>
      <c r="G34" s="29">
        <f>[1]ResumoGeracaoAtual_BC!F30</f>
        <v>6125728.8189646769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83">
        <f t="shared" si="1"/>
        <v>34031672.892870001</v>
      </c>
      <c r="N34" s="29">
        <f>[1]ResumoGeracaoAtual_BAC!C30</f>
        <v>34031672.892865576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183">
        <f t="shared" si="2"/>
        <v>15881446.89105</v>
      </c>
      <c r="V34" s="29">
        <f>[1]ResumoGeracaoAtual_BAC!E30</f>
        <v>15881446.891049597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183">
        <f t="shared" si="3"/>
        <v>2272511.35476</v>
      </c>
      <c r="AD34" s="29">
        <f>[1]ResumoGeracaoAtual_BAC!AS30</f>
        <v>2272511.354760732</v>
      </c>
      <c r="AE34" s="29">
        <v>0</v>
      </c>
      <c r="AF34" s="29">
        <v>0</v>
      </c>
      <c r="AG34" s="29">
        <v>0</v>
      </c>
      <c r="AH34" s="183">
        <f t="shared" si="4"/>
        <v>2229744.0644100001</v>
      </c>
      <c r="AI34" s="29">
        <f>[1]ResumoGeracaoAtual_BAC!AT30</f>
        <v>2229744.0644110828</v>
      </c>
      <c r="AJ34" s="29">
        <v>0</v>
      </c>
      <c r="AK34" s="29">
        <v>0</v>
      </c>
      <c r="AL34" s="29">
        <v>0</v>
      </c>
      <c r="AM34" s="29">
        <v>0</v>
      </c>
      <c r="AN34" s="29">
        <f>[1]ResumoGeracaoAtual_BAC!Q30</f>
        <v>95984763.862406641</v>
      </c>
      <c r="AO34" s="29">
        <v>0</v>
      </c>
      <c r="AP34" s="29">
        <v>0</v>
      </c>
      <c r="AQ34" s="29">
        <f>SUM([1]ProjecoesAtuariais_Resumo!E30:J30)</f>
        <v>320000000</v>
      </c>
      <c r="AR34" s="183">
        <f t="shared" si="5"/>
        <v>476525867.88445997</v>
      </c>
      <c r="AS34" s="183">
        <f t="shared" si="6"/>
        <v>172770086.81380999</v>
      </c>
      <c r="AT34" s="29">
        <f>[1]ResumoGeracaoAtual_BC!B30</f>
        <v>108579147.25100051</v>
      </c>
      <c r="AU34" s="29">
        <v>0</v>
      </c>
      <c r="AV34" s="29">
        <v>0</v>
      </c>
      <c r="AW34" s="29">
        <v>0</v>
      </c>
      <c r="AX34" s="29">
        <f>[1]ResumoGeracaoAtual_BC!C30</f>
        <v>64190939.562813006</v>
      </c>
      <c r="AY34" s="29">
        <v>0</v>
      </c>
      <c r="AZ34" s="183">
        <f t="shared" si="7"/>
        <v>280047817.10117</v>
      </c>
      <c r="BA34" s="29">
        <f>[1]ResumoGeracaoAtual_BAC!G30</f>
        <v>232631536.28998145</v>
      </c>
      <c r="BB34" s="29">
        <v>0</v>
      </c>
      <c r="BC34" s="29">
        <v>0</v>
      </c>
      <c r="BD34" s="29">
        <v>0</v>
      </c>
      <c r="BE34" s="29">
        <v>0</v>
      </c>
      <c r="BF34" s="29">
        <f>[1]ResumoGeracaoAtual_BAC!H30</f>
        <v>36313206.111900799</v>
      </c>
      <c r="BG34" s="29">
        <v>0</v>
      </c>
      <c r="BH34" s="29">
        <v>0</v>
      </c>
      <c r="BI34" s="29">
        <f>[1]ResumoGeracaoAtual_BAC!AX30</f>
        <v>11103074.699291883</v>
      </c>
      <c r="BJ34" s="183">
        <f t="shared" si="8"/>
        <v>452817903.91497999</v>
      </c>
      <c r="BK34" s="183">
        <f t="shared" si="9"/>
        <v>23707963.96948</v>
      </c>
      <c r="BL34" s="183">
        <f>$BO$9+SUMPRODUCT($D$10:D34,$BK$10:BK34)</f>
        <v>482814435.51464999</v>
      </c>
      <c r="BM34" s="30">
        <f t="shared" si="10"/>
        <v>4.3</v>
      </c>
      <c r="BN34" s="183">
        <f t="shared" si="13"/>
        <v>56048109.54659</v>
      </c>
      <c r="BO34" s="184">
        <f t="shared" si="11"/>
        <v>1383200481.5762601</v>
      </c>
      <c r="BP34" s="41">
        <f t="shared" si="14"/>
        <v>157631599.19951743</v>
      </c>
      <c r="BQ34" s="41">
        <f t="shared" si="15"/>
        <v>3861974180.3881769</v>
      </c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185">
        <f t="shared" si="17"/>
        <v>26</v>
      </c>
      <c r="B35" s="186">
        <f t="shared" si="17"/>
        <v>2045</v>
      </c>
      <c r="C35" s="29">
        <v>4.3</v>
      </c>
      <c r="D35" s="183">
        <f t="shared" si="16"/>
        <v>0.33466000000000001</v>
      </c>
      <c r="E35" s="29">
        <f>[1]ResumoGeracaoAtual_BAC!B31</f>
        <v>95687526.88232334</v>
      </c>
      <c r="F35" s="183">
        <f t="shared" si="0"/>
        <v>5404391.7043099999</v>
      </c>
      <c r="G35" s="29">
        <f>[1]ResumoGeracaoAtual_BC!F31</f>
        <v>5404391.7043106332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183">
        <f t="shared" si="1"/>
        <v>28706259.451340001</v>
      </c>
      <c r="N35" s="29">
        <f>[1]ResumoGeracaoAtual_BAC!C31</f>
        <v>28706259.451335177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183">
        <f t="shared" si="2"/>
        <v>13396253.8006</v>
      </c>
      <c r="V35" s="29">
        <f>[1]ResumoGeracaoAtual_BAC!E31</f>
        <v>13396253.800600814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183">
        <f t="shared" si="3"/>
        <v>2400713.2396200001</v>
      </c>
      <c r="AD35" s="29">
        <f>[1]ResumoGeracaoAtual_BAC!AS31</f>
        <v>2400713.2396170245</v>
      </c>
      <c r="AE35" s="29">
        <v>0</v>
      </c>
      <c r="AF35" s="29">
        <v>0</v>
      </c>
      <c r="AG35" s="29">
        <v>0</v>
      </c>
      <c r="AH35" s="183">
        <f t="shared" si="4"/>
        <v>2055317.4383700001</v>
      </c>
      <c r="AI35" s="29">
        <f>[1]ResumoGeracaoAtual_BAC!AT31</f>
        <v>2055317.4383658469</v>
      </c>
      <c r="AJ35" s="29">
        <v>0</v>
      </c>
      <c r="AK35" s="29">
        <v>0</v>
      </c>
      <c r="AL35" s="29">
        <v>0</v>
      </c>
      <c r="AM35" s="29">
        <v>0</v>
      </c>
      <c r="AN35" s="29">
        <f>[1]ResumoGeracaoAtual_BAC!Q31</f>
        <v>96669389.912652254</v>
      </c>
      <c r="AO35" s="29">
        <v>0</v>
      </c>
      <c r="AP35" s="29">
        <v>0</v>
      </c>
      <c r="AQ35" s="29">
        <f>SUM([1]ProjecoesAtuariais_Resumo!E31:J31)</f>
        <v>380000000</v>
      </c>
      <c r="AR35" s="183">
        <f t="shared" si="5"/>
        <v>528632325.54689002</v>
      </c>
      <c r="AS35" s="183">
        <f t="shared" si="6"/>
        <v>153237262.82006001</v>
      </c>
      <c r="AT35" s="29">
        <f>[1]ResumoGeracaoAtual_BC!B31</f>
        <v>95592315.836554021</v>
      </c>
      <c r="AU35" s="29">
        <v>0</v>
      </c>
      <c r="AV35" s="29">
        <v>0</v>
      </c>
      <c r="AW35" s="29">
        <v>0</v>
      </c>
      <c r="AX35" s="29">
        <f>[1]ResumoGeracaoAtual_BC!C31</f>
        <v>57644946.983502567</v>
      </c>
      <c r="AY35" s="29">
        <v>0</v>
      </c>
      <c r="AZ35" s="183">
        <f t="shared" si="7"/>
        <v>292396029.57568997</v>
      </c>
      <c r="BA35" s="29">
        <f>[1]ResumoGeracaoAtual_BAC!G31</f>
        <v>243388793.15780833</v>
      </c>
      <c r="BB35" s="29">
        <v>0</v>
      </c>
      <c r="BC35" s="29">
        <v>0</v>
      </c>
      <c r="BD35" s="29">
        <v>0</v>
      </c>
      <c r="BE35" s="29">
        <v>0</v>
      </c>
      <c r="BF35" s="29">
        <f>[1]ResumoGeracaoAtual_BAC!H31</f>
        <v>38393102.706545696</v>
      </c>
      <c r="BG35" s="29">
        <v>0</v>
      </c>
      <c r="BH35" s="29">
        <v>0</v>
      </c>
      <c r="BI35" s="29">
        <f>[1]ResumoGeracaoAtual_BAC!AX31</f>
        <v>10614133.711334679</v>
      </c>
      <c r="BJ35" s="183">
        <f t="shared" si="8"/>
        <v>445633292.39574999</v>
      </c>
      <c r="BK35" s="183">
        <f t="shared" si="9"/>
        <v>82999033.151140004</v>
      </c>
      <c r="BL35" s="183">
        <f>$BO$9+SUMPRODUCT($D$10:D35,$BK$10:BK35)</f>
        <v>510590891.94901049</v>
      </c>
      <c r="BM35" s="30">
        <f t="shared" si="10"/>
        <v>4.3</v>
      </c>
      <c r="BN35" s="183">
        <f t="shared" si="13"/>
        <v>59477620.707780004</v>
      </c>
      <c r="BO35" s="184">
        <f t="shared" si="11"/>
        <v>1525677135.4351799</v>
      </c>
      <c r="BP35" s="41">
        <f t="shared" si="14"/>
        <v>148939648.28138313</v>
      </c>
      <c r="BQ35" s="41">
        <f t="shared" si="15"/>
        <v>3797961031.1752696</v>
      </c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185">
        <f t="shared" si="17"/>
        <v>27</v>
      </c>
      <c r="B36" s="186">
        <f t="shared" si="17"/>
        <v>2046</v>
      </c>
      <c r="C36" s="29">
        <v>4.3</v>
      </c>
      <c r="D36" s="183">
        <f t="shared" si="16"/>
        <v>0.32085999999999998</v>
      </c>
      <c r="E36" s="29">
        <f>[1]ResumoGeracaoAtual_BAC!B32</f>
        <v>79373827.749361187</v>
      </c>
      <c r="F36" s="183">
        <f t="shared" si="0"/>
        <v>4728344.7519899998</v>
      </c>
      <c r="G36" s="29">
        <f>[1]ResumoGeracaoAtual_BC!F32</f>
        <v>4728344.7519873288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183">
        <f t="shared" si="1"/>
        <v>23812149.22586</v>
      </c>
      <c r="N36" s="29">
        <f>[1]ResumoGeracaoAtual_BAC!C32</f>
        <v>23812149.225863617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183">
        <f t="shared" si="2"/>
        <v>11112335.949349999</v>
      </c>
      <c r="V36" s="29">
        <f>[1]ResumoGeracaoAtual_BAC!E32</f>
        <v>11112335.94935343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183">
        <f t="shared" si="3"/>
        <v>2524064.7977200001</v>
      </c>
      <c r="AD36" s="29">
        <f>[1]ResumoGeracaoAtual_BAC!AS32</f>
        <v>2524064.79772342</v>
      </c>
      <c r="AE36" s="29">
        <v>0</v>
      </c>
      <c r="AF36" s="29">
        <v>0</v>
      </c>
      <c r="AG36" s="29">
        <v>0</v>
      </c>
      <c r="AH36" s="183">
        <f t="shared" si="4"/>
        <v>1880382.1790700001</v>
      </c>
      <c r="AI36" s="29">
        <f>[1]ResumoGeracaoAtual_BAC!AT32</f>
        <v>1880382.1790719861</v>
      </c>
      <c r="AJ36" s="29">
        <v>0</v>
      </c>
      <c r="AK36" s="29">
        <v>0</v>
      </c>
      <c r="AL36" s="29">
        <v>0</v>
      </c>
      <c r="AM36" s="29">
        <v>0</v>
      </c>
      <c r="AN36" s="29">
        <f>[1]ResumoGeracaoAtual_BAC!Q32</f>
        <v>96904330.184149683</v>
      </c>
      <c r="AO36" s="29">
        <v>0</v>
      </c>
      <c r="AP36" s="29">
        <v>0</v>
      </c>
      <c r="AQ36" s="29">
        <f>SUM([1]ProjecoesAtuariais_Resumo!E32:J32)</f>
        <v>320000000</v>
      </c>
      <c r="AR36" s="183">
        <f t="shared" si="5"/>
        <v>460961607.08814001</v>
      </c>
      <c r="AS36" s="183">
        <f t="shared" si="6"/>
        <v>134661260.73091999</v>
      </c>
      <c r="AT36" s="29">
        <f>[1]ResumoGeracaoAtual_BC!B32</f>
        <v>83417016.594030157</v>
      </c>
      <c r="AU36" s="29">
        <v>0</v>
      </c>
      <c r="AV36" s="29">
        <v>0</v>
      </c>
      <c r="AW36" s="29">
        <v>0</v>
      </c>
      <c r="AX36" s="29">
        <f>[1]ResumoGeracaoAtual_BC!C32</f>
        <v>51244244.136886798</v>
      </c>
      <c r="AY36" s="29">
        <v>0</v>
      </c>
      <c r="AZ36" s="183">
        <f t="shared" si="7"/>
        <v>302977391.81773001</v>
      </c>
      <c r="BA36" s="29">
        <f>[1]ResumoGeracaoAtual_BAC!G32</f>
        <v>252368509.26106331</v>
      </c>
      <c r="BB36" s="29">
        <v>0</v>
      </c>
      <c r="BC36" s="29">
        <v>0</v>
      </c>
      <c r="BD36" s="29">
        <v>0</v>
      </c>
      <c r="BE36" s="29">
        <v>0</v>
      </c>
      <c r="BF36" s="29">
        <f>[1]ResumoGeracaoAtual_BAC!H32</f>
        <v>40471382.942983761</v>
      </c>
      <c r="BG36" s="29">
        <v>0</v>
      </c>
      <c r="BH36" s="29">
        <v>0</v>
      </c>
      <c r="BI36" s="29">
        <f>[1]ResumoGeracaoAtual_BAC!AX32</f>
        <v>10137499.613686504</v>
      </c>
      <c r="BJ36" s="183">
        <f t="shared" si="8"/>
        <v>437638652.54865003</v>
      </c>
      <c r="BK36" s="183">
        <f t="shared" si="9"/>
        <v>23322954.539489999</v>
      </c>
      <c r="BL36" s="183">
        <f>$BO$9+SUMPRODUCT($D$10:D36,$BK$10:BK36)</f>
        <v>518074295.14255124</v>
      </c>
      <c r="BM36" s="30">
        <f t="shared" si="10"/>
        <v>4.3</v>
      </c>
      <c r="BN36" s="183">
        <f t="shared" si="13"/>
        <v>65604116.823710002</v>
      </c>
      <c r="BO36" s="184">
        <f t="shared" si="11"/>
        <v>1614604206.7983799</v>
      </c>
      <c r="BP36" s="41">
        <f t="shared" si="14"/>
        <v>140417938.56349766</v>
      </c>
      <c r="BQ36" s="41">
        <f t="shared" si="15"/>
        <v>3721075371.9326882</v>
      </c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 s="185">
        <f t="shared" si="17"/>
        <v>28</v>
      </c>
      <c r="B37" s="186">
        <f t="shared" si="17"/>
        <v>2047</v>
      </c>
      <c r="C37" s="29">
        <v>4.3</v>
      </c>
      <c r="D37" s="183">
        <f t="shared" si="16"/>
        <v>0.30763000000000001</v>
      </c>
      <c r="E37" s="29">
        <f>[1]ResumoGeracaoAtual_BAC!B33</f>
        <v>62583078.132624462</v>
      </c>
      <c r="F37" s="183">
        <f t="shared" si="0"/>
        <v>4098741.9427</v>
      </c>
      <c r="G37" s="29">
        <f>[1]ResumoGeracaoAtual_BC!F33</f>
        <v>4098741.942697688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183">
        <f t="shared" si="1"/>
        <v>18774924.24549</v>
      </c>
      <c r="N37" s="29">
        <f>[1]ResumoGeracaoAtual_BAC!C33</f>
        <v>18774924.245490078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183">
        <f t="shared" si="2"/>
        <v>8761630.9716999996</v>
      </c>
      <c r="V37" s="29">
        <f>[1]ResumoGeracaoAtual_BAC!E33</f>
        <v>8761630.9717004597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183">
        <f t="shared" si="3"/>
        <v>2664686.07033</v>
      </c>
      <c r="AD37" s="29">
        <f>[1]ResumoGeracaoAtual_BAC!AS33</f>
        <v>2664686.0703251152</v>
      </c>
      <c r="AE37" s="29">
        <v>0</v>
      </c>
      <c r="AF37" s="29">
        <v>0</v>
      </c>
      <c r="AG37" s="29">
        <v>0</v>
      </c>
      <c r="AH37" s="183">
        <f t="shared" si="4"/>
        <v>1708187.7338700001</v>
      </c>
      <c r="AI37" s="29">
        <f>[1]ResumoGeracaoAtual_BAC!AT33</f>
        <v>1708187.7338664674</v>
      </c>
      <c r="AJ37" s="29">
        <v>0</v>
      </c>
      <c r="AK37" s="29">
        <v>0</v>
      </c>
      <c r="AL37" s="29">
        <v>0</v>
      </c>
      <c r="AM37" s="29">
        <v>0</v>
      </c>
      <c r="AN37" s="29">
        <f>[1]ResumoGeracaoAtual_BAC!Q33</f>
        <v>96781582.765110329</v>
      </c>
      <c r="AO37" s="29">
        <v>0</v>
      </c>
      <c r="AP37" s="29">
        <v>0</v>
      </c>
      <c r="AQ37" s="29">
        <f>SUM([1]ProjecoesAtuariais_Resumo!E33:J33)</f>
        <v>320000000</v>
      </c>
      <c r="AR37" s="183">
        <f t="shared" si="5"/>
        <v>452789753.72920001</v>
      </c>
      <c r="AS37" s="183">
        <f t="shared" si="6"/>
        <v>117148429.84251</v>
      </c>
      <c r="AT37" s="29">
        <f>[1]ResumoGeracaoAtual_BC!B33</f>
        <v>72085374.698887408</v>
      </c>
      <c r="AU37" s="29">
        <v>0</v>
      </c>
      <c r="AV37" s="29">
        <v>0</v>
      </c>
      <c r="AW37" s="29">
        <v>0</v>
      </c>
      <c r="AX37" s="29">
        <f>[1]ResumoGeracaoAtual_BC!C33</f>
        <v>45063055.143626243</v>
      </c>
      <c r="AY37" s="29">
        <v>0</v>
      </c>
      <c r="AZ37" s="183">
        <f t="shared" si="7"/>
        <v>313396875.19744998</v>
      </c>
      <c r="BA37" s="29">
        <f>[1]ResumoGeracaoAtual_BAC!G33</f>
        <v>261188850.97989374</v>
      </c>
      <c r="BB37" s="29">
        <v>0</v>
      </c>
      <c r="BC37" s="29">
        <v>0</v>
      </c>
      <c r="BD37" s="29">
        <v>0</v>
      </c>
      <c r="BE37" s="29">
        <v>0</v>
      </c>
      <c r="BF37" s="29">
        <f>[1]ResumoGeracaoAtual_BAC!H33</f>
        <v>42538840.233781993</v>
      </c>
      <c r="BG37" s="29">
        <v>0</v>
      </c>
      <c r="BH37" s="29">
        <v>0</v>
      </c>
      <c r="BI37" s="29">
        <f>[1]ResumoGeracaoAtual_BAC!AX33</f>
        <v>9669183.9837762769</v>
      </c>
      <c r="BJ37" s="183">
        <f t="shared" si="8"/>
        <v>430545305.03996003</v>
      </c>
      <c r="BK37" s="183">
        <f t="shared" si="9"/>
        <v>22244448.689240001</v>
      </c>
      <c r="BL37" s="183">
        <f>$BO$9+SUMPRODUCT($D$10:D37,$BK$10:BK37)</f>
        <v>524917354.89282215</v>
      </c>
      <c r="BM37" s="30">
        <f t="shared" si="10"/>
        <v>4.3</v>
      </c>
      <c r="BN37" s="183">
        <f t="shared" si="13"/>
        <v>69427980.892330006</v>
      </c>
      <c r="BO37" s="184">
        <f t="shared" si="11"/>
        <v>1706276636.37995</v>
      </c>
      <c r="BP37" s="41">
        <f t="shared" si="14"/>
        <v>132608022.50362524</v>
      </c>
      <c r="BQ37" s="41">
        <f t="shared" si="15"/>
        <v>3646720618.8496943</v>
      </c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 s="185">
        <f t="shared" si="17"/>
        <v>29</v>
      </c>
      <c r="B38" s="186">
        <f t="shared" si="17"/>
        <v>2048</v>
      </c>
      <c r="C38" s="29">
        <v>4.3</v>
      </c>
      <c r="D38" s="183">
        <f t="shared" si="16"/>
        <v>0.29494999999999999</v>
      </c>
      <c r="E38" s="29">
        <f>[1]ResumoGeracaoAtual_BAC!B34</f>
        <v>48203583.385502249</v>
      </c>
      <c r="F38" s="183">
        <f t="shared" si="0"/>
        <v>3516270.4648899999</v>
      </c>
      <c r="G38" s="29">
        <f>[1]ResumoGeracaoAtual_BC!F34</f>
        <v>3516270.4648865615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183">
        <f t="shared" si="1"/>
        <v>14461075.614460001</v>
      </c>
      <c r="N38" s="29">
        <f>[1]ResumoGeracaoAtual_BAC!C34</f>
        <v>14461075.614464717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183">
        <f t="shared" si="2"/>
        <v>6748501.6940000001</v>
      </c>
      <c r="V38" s="29">
        <f>[1]ResumoGeracaoAtual_BAC!E34</f>
        <v>6748501.6940024225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183">
        <f t="shared" si="3"/>
        <v>2772433.4000499998</v>
      </c>
      <c r="AD38" s="29">
        <f>[1]ResumoGeracaoAtual_BAC!AS34</f>
        <v>2772433.4000454573</v>
      </c>
      <c r="AE38" s="29">
        <v>0</v>
      </c>
      <c r="AF38" s="29">
        <v>0</v>
      </c>
      <c r="AG38" s="29">
        <v>0</v>
      </c>
      <c r="AH38" s="183">
        <f t="shared" si="4"/>
        <v>1541519.9443999999</v>
      </c>
      <c r="AI38" s="29">
        <f>[1]ResumoGeracaoAtual_BAC!AT34</f>
        <v>1541519.9444033133</v>
      </c>
      <c r="AJ38" s="29">
        <v>0</v>
      </c>
      <c r="AK38" s="29">
        <v>0</v>
      </c>
      <c r="AL38" s="29">
        <v>0</v>
      </c>
      <c r="AM38" s="29">
        <v>0</v>
      </c>
      <c r="AN38" s="29">
        <f>[1]ResumoGeracaoAtual_BAC!Q34</f>
        <v>96046076.509363979</v>
      </c>
      <c r="AO38" s="29">
        <v>0</v>
      </c>
      <c r="AP38" s="29">
        <v>0</v>
      </c>
      <c r="AQ38" s="29">
        <f>SUM([1]ProjecoesAtuariais_Resumo!E34:J34)</f>
        <v>320000000</v>
      </c>
      <c r="AR38" s="183">
        <f t="shared" si="5"/>
        <v>445085877.62716001</v>
      </c>
      <c r="AS38" s="183">
        <f t="shared" si="6"/>
        <v>100791566.38203</v>
      </c>
      <c r="AT38" s="29">
        <f>[1]ResumoGeracaoAtual_BC!B34</f>
        <v>61623745.194882795</v>
      </c>
      <c r="AU38" s="29">
        <v>0</v>
      </c>
      <c r="AV38" s="29">
        <v>0</v>
      </c>
      <c r="AW38" s="29">
        <v>0</v>
      </c>
      <c r="AX38" s="29">
        <f>[1]ResumoGeracaoAtual_BC!C34</f>
        <v>39167821.187149599</v>
      </c>
      <c r="AY38" s="29">
        <v>0</v>
      </c>
      <c r="AZ38" s="183">
        <f t="shared" si="7"/>
        <v>321371991.36808002</v>
      </c>
      <c r="BA38" s="29">
        <f>[1]ResumoGeracaoAtual_BAC!G34</f>
        <v>267567583.85458976</v>
      </c>
      <c r="BB38" s="29">
        <v>0</v>
      </c>
      <c r="BC38" s="29">
        <v>0</v>
      </c>
      <c r="BD38" s="29">
        <v>0</v>
      </c>
      <c r="BE38" s="29">
        <v>0</v>
      </c>
      <c r="BF38" s="29">
        <f>[1]ResumoGeracaoAtual_BAC!H34</f>
        <v>44581522.393180482</v>
      </c>
      <c r="BG38" s="29">
        <v>0</v>
      </c>
      <c r="BH38" s="29">
        <v>0</v>
      </c>
      <c r="BI38" s="29">
        <f>[1]ResumoGeracaoAtual_BAC!AX34</f>
        <v>9222885.1203060988</v>
      </c>
      <c r="BJ38" s="183">
        <f t="shared" si="8"/>
        <v>422163557.75010997</v>
      </c>
      <c r="BK38" s="183">
        <f t="shared" si="9"/>
        <v>22922319.877050001</v>
      </c>
      <c r="BL38" s="183">
        <f>$BO$9+SUMPRODUCT($D$10:D38,$BK$10:BK38)</f>
        <v>531678293.14055806</v>
      </c>
      <c r="BM38" s="30">
        <f t="shared" si="10"/>
        <v>4.3</v>
      </c>
      <c r="BN38" s="183">
        <f t="shared" si="13"/>
        <v>73369895.364340007</v>
      </c>
      <c r="BO38" s="184">
        <f t="shared" si="11"/>
        <v>1802568851.62134</v>
      </c>
      <c r="BP38" s="41">
        <f t="shared" si="14"/>
        <v>124809339.36334625</v>
      </c>
      <c r="BQ38" s="41">
        <f t="shared" si="15"/>
        <v>3557066171.8553681</v>
      </c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5">
      <c r="A39" s="185">
        <f t="shared" si="17"/>
        <v>30</v>
      </c>
      <c r="B39" s="186">
        <f t="shared" si="17"/>
        <v>2049</v>
      </c>
      <c r="C39" s="29">
        <v>4.3</v>
      </c>
      <c r="D39" s="183">
        <f t="shared" si="16"/>
        <v>0.28278999999999999</v>
      </c>
      <c r="E39" s="29">
        <f>[1]ResumoGeracaoAtual_BAC!B35</f>
        <v>37705779.347368002</v>
      </c>
      <c r="F39" s="183">
        <f t="shared" si="0"/>
        <v>2981089.2771399999</v>
      </c>
      <c r="G39" s="29">
        <f>[1]ResumoGeracaoAtual_BC!F35</f>
        <v>2981089.2771404912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183">
        <f t="shared" si="1"/>
        <v>11311734.223540001</v>
      </c>
      <c r="N39" s="29">
        <f>[1]ResumoGeracaoAtual_BAC!C35</f>
        <v>11311734.223541824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183">
        <f t="shared" si="2"/>
        <v>5278809.1356499996</v>
      </c>
      <c r="V39" s="29">
        <f>[1]ResumoGeracaoAtual_BAC!E35</f>
        <v>5278809.1356525337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183">
        <f t="shared" si="3"/>
        <v>2824094.93665</v>
      </c>
      <c r="AD39" s="29">
        <f>[1]ResumoGeracaoAtual_BAC!AS35</f>
        <v>2824094.9366508126</v>
      </c>
      <c r="AE39" s="29">
        <v>0</v>
      </c>
      <c r="AF39" s="29">
        <v>0</v>
      </c>
      <c r="AG39" s="29">
        <v>0</v>
      </c>
      <c r="AH39" s="183">
        <f t="shared" si="4"/>
        <v>1382643.2660399999</v>
      </c>
      <c r="AI39" s="29">
        <f>[1]ResumoGeracaoAtual_BAC!AT35</f>
        <v>1382643.2660400434</v>
      </c>
      <c r="AJ39" s="29">
        <v>0</v>
      </c>
      <c r="AK39" s="29">
        <v>0</v>
      </c>
      <c r="AL39" s="29">
        <v>0</v>
      </c>
      <c r="AM39" s="29">
        <v>0</v>
      </c>
      <c r="AN39" s="29">
        <f>[1]ResumoGeracaoAtual_BAC!Q35</f>
        <v>94763471.047038019</v>
      </c>
      <c r="AO39" s="29">
        <v>0</v>
      </c>
      <c r="AP39" s="29">
        <v>0</v>
      </c>
      <c r="AQ39" s="29">
        <f>SUM([1]ProjecoesAtuariais_Resumo!E35:J35)</f>
        <v>320000000</v>
      </c>
      <c r="AR39" s="183">
        <f t="shared" si="5"/>
        <v>438541841.88606</v>
      </c>
      <c r="AS39" s="183">
        <f t="shared" si="6"/>
        <v>85667489.15298</v>
      </c>
      <c r="AT39" s="29">
        <f>[1]ResumoGeracaoAtual_BC!B35</f>
        <v>52053813.868633017</v>
      </c>
      <c r="AU39" s="29">
        <v>0</v>
      </c>
      <c r="AV39" s="29">
        <v>0</v>
      </c>
      <c r="AW39" s="29">
        <v>0</v>
      </c>
      <c r="AX39" s="29">
        <f>[1]ResumoGeracaoAtual_BC!C35</f>
        <v>33613675.28434632</v>
      </c>
      <c r="AY39" s="29">
        <v>0</v>
      </c>
      <c r="AZ39" s="183">
        <f t="shared" si="7"/>
        <v>325706010.47543001</v>
      </c>
      <c r="BA39" s="29">
        <f>[1]ResumoGeracaoAtual_BAC!G35</f>
        <v>270318593.42983317</v>
      </c>
      <c r="BB39" s="29">
        <v>0</v>
      </c>
      <c r="BC39" s="29">
        <v>0</v>
      </c>
      <c r="BD39" s="29">
        <v>0</v>
      </c>
      <c r="BE39" s="29">
        <v>0</v>
      </c>
      <c r="BF39" s="29">
        <f>[1]ResumoGeracaoAtual_BAC!H35</f>
        <v>46581940.987247795</v>
      </c>
      <c r="BG39" s="29">
        <v>0</v>
      </c>
      <c r="BH39" s="29">
        <v>0</v>
      </c>
      <c r="BI39" s="29">
        <f>[1]ResumoGeracaoAtual_BAC!AX35</f>
        <v>8805476.0583485682</v>
      </c>
      <c r="BJ39" s="183">
        <f t="shared" si="8"/>
        <v>411373499.62840998</v>
      </c>
      <c r="BK39" s="183">
        <f t="shared" si="9"/>
        <v>27168342.257649999</v>
      </c>
      <c r="BL39" s="183">
        <f>$BO$9+SUMPRODUCT($D$10:D39,$BK$10:BK39)</f>
        <v>539361228.64759898</v>
      </c>
      <c r="BM39" s="30">
        <f t="shared" si="10"/>
        <v>4.3</v>
      </c>
      <c r="BN39" s="183">
        <f t="shared" si="13"/>
        <v>77510460.619719997</v>
      </c>
      <c r="BO39" s="184">
        <f t="shared" si="11"/>
        <v>1907247654.4987099</v>
      </c>
      <c r="BP39" s="41">
        <f t="shared" si="14"/>
        <v>116733045.37325573</v>
      </c>
      <c r="BQ39" s="41">
        <f t="shared" si="15"/>
        <v>3443624838.511044</v>
      </c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 s="185">
        <f t="shared" si="17"/>
        <v>31</v>
      </c>
      <c r="B40" s="186">
        <f t="shared" si="17"/>
        <v>2050</v>
      </c>
      <c r="C40" s="29">
        <v>4.3</v>
      </c>
      <c r="D40" s="183">
        <f t="shared" si="16"/>
        <v>0.27112999999999998</v>
      </c>
      <c r="E40" s="29">
        <f>[1]ResumoGeracaoAtual_BAC!B36</f>
        <v>28444898.993489917</v>
      </c>
      <c r="F40" s="183">
        <f t="shared" si="0"/>
        <v>2493955.8673899998</v>
      </c>
      <c r="G40" s="29">
        <f>[1]ResumoGeracaoAtual_BC!F36</f>
        <v>2493955.8673879495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183">
        <f t="shared" si="1"/>
        <v>8533470.0512700006</v>
      </c>
      <c r="N40" s="29">
        <f>[1]ResumoGeracaoAtual_BAC!C36</f>
        <v>8533470.0512685049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183">
        <f t="shared" si="2"/>
        <v>3982285.8740300001</v>
      </c>
      <c r="V40" s="29">
        <f>[1]ResumoGeracaoAtual_BAC!E36</f>
        <v>3982285.8740257025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183">
        <f t="shared" si="3"/>
        <v>2855592.7275200002</v>
      </c>
      <c r="AD40" s="29">
        <f>[1]ResumoGeracaoAtual_BAC!AS36</f>
        <v>2855592.7275194991</v>
      </c>
      <c r="AE40" s="29">
        <v>0</v>
      </c>
      <c r="AF40" s="29">
        <v>0</v>
      </c>
      <c r="AG40" s="29">
        <v>0</v>
      </c>
      <c r="AH40" s="183">
        <f t="shared" si="4"/>
        <v>1233836.56403</v>
      </c>
      <c r="AI40" s="29">
        <f>[1]ResumoGeracaoAtual_BAC!AT36</f>
        <v>1233836.564027553</v>
      </c>
      <c r="AJ40" s="29">
        <v>0</v>
      </c>
      <c r="AK40" s="29">
        <v>0</v>
      </c>
      <c r="AL40" s="29">
        <v>0</v>
      </c>
      <c r="AM40" s="29">
        <v>0</v>
      </c>
      <c r="AN40" s="29">
        <f>[1]ResumoGeracaoAtual_BAC!Q36</f>
        <v>93041949.622465789</v>
      </c>
      <c r="AO40" s="29">
        <v>0</v>
      </c>
      <c r="AP40" s="29">
        <v>0</v>
      </c>
      <c r="AQ40" s="29">
        <f>SUM([1]ProjecoesAtuariais_Resumo!E36:J36)</f>
        <v>380000000</v>
      </c>
      <c r="AR40" s="183">
        <f t="shared" si="5"/>
        <v>492141090.70670998</v>
      </c>
      <c r="AS40" s="183">
        <f t="shared" si="6"/>
        <v>71843472.873699993</v>
      </c>
      <c r="AT40" s="29">
        <f>[1]ResumoGeracaoAtual_BC!B36</f>
        <v>43389439.665237017</v>
      </c>
      <c r="AU40" s="29">
        <v>0</v>
      </c>
      <c r="AV40" s="29">
        <v>0</v>
      </c>
      <c r="AW40" s="29">
        <v>0</v>
      </c>
      <c r="AX40" s="29">
        <f>[1]ResumoGeracaoAtual_BC!C36</f>
        <v>28454033.208464332</v>
      </c>
      <c r="AY40" s="29">
        <v>0</v>
      </c>
      <c r="AZ40" s="183">
        <f t="shared" si="7"/>
        <v>328598158.86129999</v>
      </c>
      <c r="BA40" s="29">
        <f>[1]ResumoGeracaoAtual_BAC!G36</f>
        <v>271661930.39247358</v>
      </c>
      <c r="BB40" s="29">
        <v>0</v>
      </c>
      <c r="BC40" s="29">
        <v>0</v>
      </c>
      <c r="BD40" s="29">
        <v>0</v>
      </c>
      <c r="BE40" s="29">
        <v>0</v>
      </c>
      <c r="BF40" s="29">
        <f>[1]ResumoGeracaoAtual_BAC!H36</f>
        <v>48526688.650620013</v>
      </c>
      <c r="BG40" s="29">
        <v>0</v>
      </c>
      <c r="BH40" s="29">
        <v>0</v>
      </c>
      <c r="BI40" s="29">
        <f>[1]ResumoGeracaoAtual_BAC!AX36</f>
        <v>8409539.8182056975</v>
      </c>
      <c r="BJ40" s="183">
        <f t="shared" si="8"/>
        <v>400441631.73500001</v>
      </c>
      <c r="BK40" s="183">
        <f t="shared" si="9"/>
        <v>91699458.971709996</v>
      </c>
      <c r="BL40" s="183">
        <f>$BO$9+SUMPRODUCT($D$10:D40,$BK$10:BK40)</f>
        <v>564223702.95859861</v>
      </c>
      <c r="BM40" s="30">
        <f t="shared" si="10"/>
        <v>4.3</v>
      </c>
      <c r="BN40" s="183">
        <f t="shared" si="13"/>
        <v>82011649.143439993</v>
      </c>
      <c r="BO40" s="184">
        <f t="shared" si="11"/>
        <v>2080958762.6138599</v>
      </c>
      <c r="BP40" s="41">
        <f t="shared" si="14"/>
        <v>109060764.10227183</v>
      </c>
      <c r="BQ40" s="41">
        <f t="shared" si="15"/>
        <v>3326353305.1192908</v>
      </c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 s="185">
        <f t="shared" si="17"/>
        <v>32</v>
      </c>
      <c r="B41" s="186">
        <f t="shared" si="17"/>
        <v>2051</v>
      </c>
      <c r="C41" s="29">
        <v>4.3</v>
      </c>
      <c r="D41" s="183">
        <f t="shared" si="16"/>
        <v>0.25995000000000001</v>
      </c>
      <c r="E41" s="29">
        <f>[1]ResumoGeracaoAtual_BAC!B37</f>
        <v>19629368.366719883</v>
      </c>
      <c r="F41" s="183">
        <f t="shared" si="0"/>
        <v>2054792.6250499999</v>
      </c>
      <c r="G41" s="29">
        <f>[1]ResumoGeracaoAtual_BC!F37</f>
        <v>2054792.6250478788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183">
        <f t="shared" si="1"/>
        <v>5888810.7621099995</v>
      </c>
      <c r="N41" s="29">
        <f>[1]ResumoGeracaoAtual_BAC!C37</f>
        <v>5888810.7621111022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183">
        <f t="shared" si="2"/>
        <v>2748111.5852199998</v>
      </c>
      <c r="V41" s="29">
        <f>[1]ResumoGeracaoAtual_BAC!E37</f>
        <v>2748111.5852229404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183">
        <f t="shared" si="3"/>
        <v>2912071.4442099999</v>
      </c>
      <c r="AD41" s="29">
        <f>[1]ResumoGeracaoAtual_BAC!AS37</f>
        <v>2912071.4442056417</v>
      </c>
      <c r="AE41" s="29">
        <v>0</v>
      </c>
      <c r="AF41" s="29">
        <v>0</v>
      </c>
      <c r="AG41" s="29">
        <v>0</v>
      </c>
      <c r="AH41" s="183">
        <f t="shared" si="4"/>
        <v>1096992.30372</v>
      </c>
      <c r="AI41" s="29">
        <f>[1]ResumoGeracaoAtual_BAC!AT37</f>
        <v>1096992.3037157054</v>
      </c>
      <c r="AJ41" s="29">
        <v>0</v>
      </c>
      <c r="AK41" s="29">
        <v>0</v>
      </c>
      <c r="AL41" s="29">
        <v>0</v>
      </c>
      <c r="AM41" s="29">
        <v>0</v>
      </c>
      <c r="AN41" s="29">
        <f>[1]ResumoGeracaoAtual_BAC!Q37</f>
        <v>91156701.853658572</v>
      </c>
      <c r="AO41" s="29">
        <v>0</v>
      </c>
      <c r="AP41" s="29">
        <v>0</v>
      </c>
      <c r="AQ41" s="29">
        <f>SUM([1]ProjecoesAtuariais_Resumo!E37:J37)</f>
        <v>320000000</v>
      </c>
      <c r="AR41" s="183">
        <f t="shared" si="5"/>
        <v>425857480.57397002</v>
      </c>
      <c r="AS41" s="183">
        <f t="shared" si="6"/>
        <v>59360324.83766</v>
      </c>
      <c r="AT41" s="29">
        <f>[1]ResumoGeracaoAtual_BC!B37</f>
        <v>35632082.275484286</v>
      </c>
      <c r="AU41" s="29">
        <v>0</v>
      </c>
      <c r="AV41" s="29">
        <v>0</v>
      </c>
      <c r="AW41" s="29">
        <v>0</v>
      </c>
      <c r="AX41" s="29">
        <f>[1]ResumoGeracaoAtual_BC!C37</f>
        <v>23728242.562175401</v>
      </c>
      <c r="AY41" s="29">
        <v>0</v>
      </c>
      <c r="AZ41" s="183">
        <f t="shared" si="7"/>
        <v>330533178.16141999</v>
      </c>
      <c r="BA41" s="29">
        <f>[1]ResumoGeracaoAtual_BAC!G37</f>
        <v>272101862.18266243</v>
      </c>
      <c r="BB41" s="29">
        <v>0</v>
      </c>
      <c r="BC41" s="29">
        <v>0</v>
      </c>
      <c r="BD41" s="29">
        <v>0</v>
      </c>
      <c r="BE41" s="29">
        <v>0</v>
      </c>
      <c r="BF41" s="29">
        <f>[1]ResumoGeracaoAtual_BAC!H37</f>
        <v>50401455.755894624</v>
      </c>
      <c r="BG41" s="29">
        <v>0</v>
      </c>
      <c r="BH41" s="29">
        <v>0</v>
      </c>
      <c r="BI41" s="29">
        <f>[1]ResumoGeracaoAtual_BAC!AX37</f>
        <v>8029860.2228587316</v>
      </c>
      <c r="BJ41" s="183">
        <f t="shared" si="8"/>
        <v>389893502.99908</v>
      </c>
      <c r="BK41" s="183">
        <f t="shared" si="9"/>
        <v>35963977.574890003</v>
      </c>
      <c r="BL41" s="183">
        <f>$BO$9+SUMPRODUCT($D$10:D41,$BK$10:BK41)</f>
        <v>573572538.92919135</v>
      </c>
      <c r="BM41" s="30">
        <f t="shared" si="10"/>
        <v>4.3</v>
      </c>
      <c r="BN41" s="183">
        <f t="shared" si="13"/>
        <v>89481226.792400002</v>
      </c>
      <c r="BO41" s="184">
        <f t="shared" si="11"/>
        <v>2206403966.9811502</v>
      </c>
      <c r="BP41" s="41">
        <f t="shared" si="14"/>
        <v>101902021.79369453</v>
      </c>
      <c r="BQ41" s="41">
        <f t="shared" si="15"/>
        <v>3209913686.5013776</v>
      </c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 s="185">
        <f t="shared" si="17"/>
        <v>33</v>
      </c>
      <c r="B42" s="186">
        <f t="shared" si="17"/>
        <v>2052</v>
      </c>
      <c r="C42" s="29">
        <v>4.3</v>
      </c>
      <c r="D42" s="183">
        <f t="shared" si="16"/>
        <v>0.24923000000000001</v>
      </c>
      <c r="E42" s="29">
        <f>[1]ResumoGeracaoAtual_BAC!B38</f>
        <v>13368437.808142377</v>
      </c>
      <c r="F42" s="183">
        <f t="shared" ref="F42:F105" si="18">ROUND(SUM(G42:J42),5)</f>
        <v>1664106.0130799999</v>
      </c>
      <c r="G42" s="29">
        <f>[1]ResumoGeracaoAtual_BC!F38</f>
        <v>1664106.0130786907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183">
        <f t="shared" si="1"/>
        <v>4010531.5266399998</v>
      </c>
      <c r="N42" s="29">
        <f>[1]ResumoGeracaoAtual_BAC!C38</f>
        <v>4010531.5266380315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183">
        <f t="shared" si="2"/>
        <v>1871581.2925499999</v>
      </c>
      <c r="V42" s="29">
        <f>[1]ResumoGeracaoAtual_BAC!E38</f>
        <v>1871581.2925501599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183">
        <f t="shared" si="3"/>
        <v>2894739.8961800002</v>
      </c>
      <c r="AD42" s="29">
        <f>[1]ResumoGeracaoAtual_BAC!AS38</f>
        <v>2894739.8961756579</v>
      </c>
      <c r="AE42" s="29">
        <v>0</v>
      </c>
      <c r="AF42" s="29">
        <v>0</v>
      </c>
      <c r="AG42" s="29">
        <v>0</v>
      </c>
      <c r="AH42" s="183">
        <f t="shared" si="4"/>
        <v>973137.05105999997</v>
      </c>
      <c r="AI42" s="29">
        <f>[1]ResumoGeracaoAtual_BAC!AT38</f>
        <v>973137.05106467591</v>
      </c>
      <c r="AJ42" s="29">
        <v>0</v>
      </c>
      <c r="AK42" s="29">
        <v>0</v>
      </c>
      <c r="AL42" s="29">
        <v>0</v>
      </c>
      <c r="AM42" s="29">
        <v>0</v>
      </c>
      <c r="AN42" s="29">
        <f>[1]ResumoGeracaoAtual_BAC!Q38</f>
        <v>88918642.085679322</v>
      </c>
      <c r="AO42" s="29">
        <v>0</v>
      </c>
      <c r="AP42" s="29">
        <v>0</v>
      </c>
      <c r="AQ42" s="29">
        <f>SUM([1]ProjecoesAtuariais_Resumo!E38:J38)</f>
        <v>320000000</v>
      </c>
      <c r="AR42" s="183">
        <f t="shared" si="5"/>
        <v>420332737.86519003</v>
      </c>
      <c r="AS42" s="183">
        <f t="shared" si="6"/>
        <v>48246357.400040001</v>
      </c>
      <c r="AT42" s="29">
        <f>[1]ResumoGeracaoAtual_BC!B38</f>
        <v>28771091.800539747</v>
      </c>
      <c r="AU42" s="29">
        <v>0</v>
      </c>
      <c r="AV42" s="29">
        <v>0</v>
      </c>
      <c r="AW42" s="29">
        <v>0</v>
      </c>
      <c r="AX42" s="29">
        <f>[1]ResumoGeracaoAtual_BC!C38</f>
        <v>19475265.599503711</v>
      </c>
      <c r="AY42" s="29">
        <v>0</v>
      </c>
      <c r="AZ42" s="183">
        <f t="shared" si="7"/>
        <v>330098117.76492</v>
      </c>
      <c r="BA42" s="29">
        <f>[1]ResumoGeracaoAtual_BAC!G38</f>
        <v>270230242.7659387</v>
      </c>
      <c r="BB42" s="29">
        <v>0</v>
      </c>
      <c r="BC42" s="29">
        <v>0</v>
      </c>
      <c r="BD42" s="29">
        <v>0</v>
      </c>
      <c r="BE42" s="29">
        <v>0</v>
      </c>
      <c r="BF42" s="29">
        <f>[1]ResumoGeracaoAtual_BAC!H38</f>
        <v>52187229.646567479</v>
      </c>
      <c r="BG42" s="29">
        <v>0</v>
      </c>
      <c r="BH42" s="29">
        <v>0</v>
      </c>
      <c r="BI42" s="29">
        <f>[1]ResumoGeracaoAtual_BAC!AX38</f>
        <v>7680645.3524138406</v>
      </c>
      <c r="BJ42" s="183">
        <f t="shared" si="8"/>
        <v>378344475.16496003</v>
      </c>
      <c r="BK42" s="183">
        <f t="shared" si="9"/>
        <v>41988262.700230002</v>
      </c>
      <c r="BL42" s="183">
        <f>$BO$9+SUMPRODUCT($D$10:D42,$BK$10:BK42)</f>
        <v>584037273.64196968</v>
      </c>
      <c r="BM42" s="30">
        <f t="shared" si="10"/>
        <v>4.3</v>
      </c>
      <c r="BN42" s="183">
        <f t="shared" si="13"/>
        <v>94875370.580190003</v>
      </c>
      <c r="BO42" s="184">
        <f t="shared" si="11"/>
        <v>2343267600.26157</v>
      </c>
      <c r="BP42" s="41">
        <f t="shared" si="14"/>
        <v>94896551.886432618</v>
      </c>
      <c r="BQ42" s="41">
        <f t="shared" si="15"/>
        <v>3084137936.3090601</v>
      </c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 s="185">
        <f t="shared" ref="A43:B58" si="19">A42+1</f>
        <v>34</v>
      </c>
      <c r="B43" s="186">
        <f t="shared" si="19"/>
        <v>2053</v>
      </c>
      <c r="C43" s="29">
        <v>4.3</v>
      </c>
      <c r="D43" s="183">
        <f t="shared" si="16"/>
        <v>0.23895</v>
      </c>
      <c r="E43" s="29">
        <f>[1]ResumoGeracaoAtual_BAC!B39</f>
        <v>7979058.8177589625</v>
      </c>
      <c r="F43" s="183">
        <f t="shared" si="18"/>
        <v>1322582.55911</v>
      </c>
      <c r="G43" s="29">
        <f>[1]ResumoGeracaoAtual_BC!F39</f>
        <v>1322582.5591090969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183">
        <f t="shared" si="1"/>
        <v>2393717.75813</v>
      </c>
      <c r="N43" s="29">
        <f>[1]ResumoGeracaoAtual_BAC!C39</f>
        <v>2393717.7581275823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183">
        <f t="shared" si="2"/>
        <v>1117068.2431600001</v>
      </c>
      <c r="V43" s="29">
        <f>[1]ResumoGeracaoAtual_BAC!E39</f>
        <v>1117068.2431564273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183">
        <f t="shared" si="3"/>
        <v>2878083.1459300001</v>
      </c>
      <c r="AD43" s="29">
        <f>[1]ResumoGeracaoAtual_BAC!AS39</f>
        <v>2878083.1459260085</v>
      </c>
      <c r="AE43" s="29">
        <v>0</v>
      </c>
      <c r="AF43" s="29">
        <v>0</v>
      </c>
      <c r="AG43" s="29">
        <v>0</v>
      </c>
      <c r="AH43" s="183">
        <f t="shared" si="4"/>
        <v>863394.53115000005</v>
      </c>
      <c r="AI43" s="29">
        <f>[1]ResumoGeracaoAtual_BAC!AT39</f>
        <v>863394.53115202836</v>
      </c>
      <c r="AJ43" s="29">
        <v>0</v>
      </c>
      <c r="AK43" s="29">
        <v>0</v>
      </c>
      <c r="AL43" s="29">
        <v>0</v>
      </c>
      <c r="AM43" s="29">
        <v>0</v>
      </c>
      <c r="AN43" s="29">
        <f>[1]ResumoGeracaoAtual_BAC!Q39</f>
        <v>86504757.707011715</v>
      </c>
      <c r="AO43" s="29">
        <v>0</v>
      </c>
      <c r="AP43" s="29">
        <v>0</v>
      </c>
      <c r="AQ43" s="29">
        <f>SUM([1]ProjecoesAtuariais_Resumo!E39:J39)</f>
        <v>320000000</v>
      </c>
      <c r="AR43" s="183">
        <f t="shared" si="5"/>
        <v>415079603.94449002</v>
      </c>
      <c r="AS43" s="183">
        <f t="shared" si="6"/>
        <v>38512887.170510001</v>
      </c>
      <c r="AT43" s="29">
        <f>[1]ResumoGeracaoAtual_BC!B39</f>
        <v>22786748.597649202</v>
      </c>
      <c r="AU43" s="29">
        <v>0</v>
      </c>
      <c r="AV43" s="29">
        <v>0</v>
      </c>
      <c r="AW43" s="29">
        <v>0</v>
      </c>
      <c r="AX43" s="29">
        <f>[1]ResumoGeracaoAtual_BC!C39</f>
        <v>15726138.572859526</v>
      </c>
      <c r="AY43" s="29">
        <v>0</v>
      </c>
      <c r="AZ43" s="183">
        <f t="shared" si="7"/>
        <v>328423609.94041002</v>
      </c>
      <c r="BA43" s="29">
        <f>[1]ResumoGeracaoAtual_BAC!G39</f>
        <v>267203404.78203949</v>
      </c>
      <c r="BB43" s="29">
        <v>0</v>
      </c>
      <c r="BC43" s="29">
        <v>0</v>
      </c>
      <c r="BD43" s="29">
        <v>0</v>
      </c>
      <c r="BE43" s="29">
        <v>0</v>
      </c>
      <c r="BF43" s="29">
        <f>[1]ResumoGeracaoAtual_BAC!H39</f>
        <v>53868919.748008482</v>
      </c>
      <c r="BG43" s="29">
        <v>0</v>
      </c>
      <c r="BH43" s="29">
        <v>0</v>
      </c>
      <c r="BI43" s="29">
        <f>[1]ResumoGeracaoAtual_BAC!AX39</f>
        <v>7351285.4103663135</v>
      </c>
      <c r="BJ43" s="183">
        <f t="shared" si="8"/>
        <v>366936497.11092001</v>
      </c>
      <c r="BK43" s="183">
        <f t="shared" si="9"/>
        <v>48143106.833570004</v>
      </c>
      <c r="BL43" s="183">
        <f>$BO$9+SUMPRODUCT($D$10:D43,$BK$10:BK43)</f>
        <v>595541069.01985121</v>
      </c>
      <c r="BM43" s="30">
        <f t="shared" si="10"/>
        <v>4.3</v>
      </c>
      <c r="BN43" s="183">
        <f t="shared" si="13"/>
        <v>100760506.81125</v>
      </c>
      <c r="BO43" s="184">
        <f t="shared" si="11"/>
        <v>2492171213.9063902</v>
      </c>
      <c r="BP43" s="41">
        <f t="shared" si="14"/>
        <v>88314328.823403686</v>
      </c>
      <c r="BQ43" s="41">
        <f t="shared" si="15"/>
        <v>2958530015.5840235</v>
      </c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 s="185">
        <f t="shared" si="19"/>
        <v>35</v>
      </c>
      <c r="B44" s="186">
        <f t="shared" si="19"/>
        <v>2054</v>
      </c>
      <c r="C44" s="29">
        <v>4.3</v>
      </c>
      <c r="D44" s="183">
        <f t="shared" si="16"/>
        <v>0.2291</v>
      </c>
      <c r="E44" s="29">
        <f>[1]ResumoGeracaoAtual_BAC!B40</f>
        <v>5251075.5397533132</v>
      </c>
      <c r="F44" s="183">
        <f t="shared" si="18"/>
        <v>1029984.0866799999</v>
      </c>
      <c r="G44" s="29">
        <f>[1]ResumoGeracaoAtual_BC!F40</f>
        <v>1029984.0866818447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183">
        <f t="shared" si="1"/>
        <v>1575322.72398</v>
      </c>
      <c r="N44" s="29">
        <f>[1]ResumoGeracaoAtual_BAC!C40</f>
        <v>1575322.7239765688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183">
        <f t="shared" si="2"/>
        <v>735150.5797</v>
      </c>
      <c r="V44" s="29">
        <f>[1]ResumoGeracaoAtual_BAC!E40</f>
        <v>735150.57970056299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183">
        <f t="shared" si="3"/>
        <v>2820303.4611300002</v>
      </c>
      <c r="AD44" s="29">
        <f>[1]ResumoGeracaoAtual_BAC!AS40</f>
        <v>2820303.4611299196</v>
      </c>
      <c r="AE44" s="29">
        <v>0</v>
      </c>
      <c r="AF44" s="29">
        <v>0</v>
      </c>
      <c r="AG44" s="29">
        <v>0</v>
      </c>
      <c r="AH44" s="183">
        <f t="shared" si="4"/>
        <v>768153.12072000001</v>
      </c>
      <c r="AI44" s="29">
        <f>[1]ResumoGeracaoAtual_BAC!AT40</f>
        <v>768153.12071662548</v>
      </c>
      <c r="AJ44" s="29">
        <v>0</v>
      </c>
      <c r="AK44" s="29">
        <v>0</v>
      </c>
      <c r="AL44" s="29">
        <v>0</v>
      </c>
      <c r="AM44" s="29">
        <v>0</v>
      </c>
      <c r="AN44" s="29">
        <f>[1]ResumoGeracaoAtual_BAC!Q40</f>
        <v>83783395.166646436</v>
      </c>
      <c r="AO44" s="29">
        <v>0</v>
      </c>
      <c r="AP44" s="29">
        <v>0</v>
      </c>
      <c r="AQ44" s="29">
        <f>SUM([1]ProjecoesAtuariais_Resumo!E40:J40)</f>
        <v>320000000</v>
      </c>
      <c r="AR44" s="183">
        <f t="shared" si="5"/>
        <v>410712309.13885999</v>
      </c>
      <c r="AS44" s="183">
        <f t="shared" si="6"/>
        <v>30144148.476210002</v>
      </c>
      <c r="AT44" s="29">
        <f>[1]ResumoGeracaoAtual_BC!B40</f>
        <v>17649266.86599144</v>
      </c>
      <c r="AU44" s="29">
        <v>0</v>
      </c>
      <c r="AV44" s="29">
        <v>0</v>
      </c>
      <c r="AW44" s="29">
        <v>0</v>
      </c>
      <c r="AX44" s="29">
        <f>[1]ResumoGeracaoAtual_BC!C40</f>
        <v>12494881.610217918</v>
      </c>
      <c r="AY44" s="29">
        <v>0</v>
      </c>
      <c r="AZ44" s="183">
        <f t="shared" si="7"/>
        <v>324199059.77484</v>
      </c>
      <c r="BA44" s="29">
        <f>[1]ResumoGeracaoAtual_BAC!G40</f>
        <v>261720040.15732673</v>
      </c>
      <c r="BB44" s="29">
        <v>0</v>
      </c>
      <c r="BC44" s="29">
        <v>0</v>
      </c>
      <c r="BD44" s="29">
        <v>0</v>
      </c>
      <c r="BE44" s="29">
        <v>0</v>
      </c>
      <c r="BF44" s="29">
        <f>[1]ResumoGeracaoAtual_BAC!H40</f>
        <v>55428151.30788748</v>
      </c>
      <c r="BG44" s="29">
        <v>0</v>
      </c>
      <c r="BH44" s="29">
        <v>0</v>
      </c>
      <c r="BI44" s="29">
        <f>[1]ResumoGeracaoAtual_BAC!AX40</f>
        <v>7050868.3096235376</v>
      </c>
      <c r="BJ44" s="183">
        <f t="shared" si="8"/>
        <v>354343208.25105</v>
      </c>
      <c r="BK44" s="183">
        <f t="shared" si="9"/>
        <v>56369100.887809999</v>
      </c>
      <c r="BL44" s="183">
        <f>$BO$9+SUMPRODUCT($D$10:D44,$BK$10:BK44)</f>
        <v>608455230.03324842</v>
      </c>
      <c r="BM44" s="30">
        <f t="shared" si="10"/>
        <v>4.3</v>
      </c>
      <c r="BN44" s="183">
        <f t="shared" si="13"/>
        <v>107163362.19798</v>
      </c>
      <c r="BO44" s="184">
        <f t="shared" si="11"/>
        <v>2655703676.9921799</v>
      </c>
      <c r="BP44" s="41">
        <f t="shared" si="14"/>
        <v>81830979.478881136</v>
      </c>
      <c r="BQ44" s="41">
        <f t="shared" si="15"/>
        <v>2823168792.021399</v>
      </c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 s="185">
        <f t="shared" si="19"/>
        <v>36</v>
      </c>
      <c r="B45" s="186">
        <f t="shared" si="19"/>
        <v>2055</v>
      </c>
      <c r="C45" s="29">
        <v>4.3</v>
      </c>
      <c r="D45" s="183">
        <f t="shared" si="16"/>
        <v>0.21965000000000001</v>
      </c>
      <c r="E45" s="29">
        <f>[1]ResumoGeracaoAtual_BAC!B41</f>
        <v>2514233.3985689837</v>
      </c>
      <c r="F45" s="183">
        <f t="shared" si="18"/>
        <v>784609.34111000004</v>
      </c>
      <c r="G45" s="29">
        <f>[1]ResumoGeracaoAtual_BC!F41</f>
        <v>784609.34110772342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183">
        <f t="shared" si="1"/>
        <v>754270.05166</v>
      </c>
      <c r="N45" s="29">
        <f>[1]ResumoGeracaoAtual_BAC!C41</f>
        <v>754270.05165664328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183">
        <f t="shared" si="2"/>
        <v>351992.67395000003</v>
      </c>
      <c r="V45" s="29">
        <f>[1]ResumoGeracaoAtual_BAC!E41</f>
        <v>351992.67395039799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183">
        <f t="shared" si="3"/>
        <v>2778922.2933700001</v>
      </c>
      <c r="AD45" s="29">
        <f>[1]ResumoGeracaoAtual_BAC!AS41</f>
        <v>2778922.2933731899</v>
      </c>
      <c r="AE45" s="29">
        <v>0</v>
      </c>
      <c r="AF45" s="29">
        <v>0</v>
      </c>
      <c r="AG45" s="29">
        <v>0</v>
      </c>
      <c r="AH45" s="183">
        <f t="shared" si="4"/>
        <v>687532.88439000002</v>
      </c>
      <c r="AI45" s="29">
        <f>[1]ResumoGeracaoAtual_BAC!AT41</f>
        <v>687532.88439309876</v>
      </c>
      <c r="AJ45" s="29">
        <v>0</v>
      </c>
      <c r="AK45" s="29">
        <v>0</v>
      </c>
      <c r="AL45" s="29">
        <v>0</v>
      </c>
      <c r="AM45" s="29">
        <v>0</v>
      </c>
      <c r="AN45" s="29">
        <f>[1]ResumoGeracaoAtual_BAC!Q41</f>
        <v>80913028.594773546</v>
      </c>
      <c r="AO45" s="29">
        <v>0</v>
      </c>
      <c r="AP45" s="29">
        <v>0</v>
      </c>
      <c r="AQ45" s="29">
        <f>SUM([1]ProjecoesAtuariais_Resumo!E41:J41)</f>
        <v>380000000</v>
      </c>
      <c r="AR45" s="183">
        <f t="shared" si="5"/>
        <v>466270355.83925003</v>
      </c>
      <c r="AS45" s="183">
        <f t="shared" si="6"/>
        <v>23093093.965229999</v>
      </c>
      <c r="AT45" s="29">
        <f>[1]ResumoGeracaoAtual_BC!B41</f>
        <v>13319191.708701488</v>
      </c>
      <c r="AU45" s="29">
        <v>0</v>
      </c>
      <c r="AV45" s="29">
        <v>0</v>
      </c>
      <c r="AW45" s="29">
        <v>0</v>
      </c>
      <c r="AX45" s="29">
        <f>[1]ResumoGeracaoAtual_BC!C41</f>
        <v>9773902.2565310206</v>
      </c>
      <c r="AY45" s="29">
        <v>0</v>
      </c>
      <c r="AZ45" s="183">
        <f t="shared" si="7"/>
        <v>319464657.49822003</v>
      </c>
      <c r="BA45" s="29">
        <f>[1]ResumoGeracaoAtual_BAC!G41</f>
        <v>255850479.43067363</v>
      </c>
      <c r="BB45" s="29">
        <v>0</v>
      </c>
      <c r="BC45" s="29">
        <v>0</v>
      </c>
      <c r="BD45" s="29">
        <v>0</v>
      </c>
      <c r="BE45" s="29">
        <v>0</v>
      </c>
      <c r="BF45" s="29">
        <f>[1]ResumoGeracaoAtual_BAC!H41</f>
        <v>56848060.717307441</v>
      </c>
      <c r="BG45" s="29">
        <v>0</v>
      </c>
      <c r="BH45" s="29">
        <v>0</v>
      </c>
      <c r="BI45" s="29">
        <f>[1]ResumoGeracaoAtual_BAC!AX41</f>
        <v>6766117.3502356503</v>
      </c>
      <c r="BJ45" s="183">
        <f t="shared" si="8"/>
        <v>342557751.46345001</v>
      </c>
      <c r="BK45" s="183">
        <f t="shared" si="9"/>
        <v>123712604.3758</v>
      </c>
      <c r="BL45" s="183">
        <f>$BO$9+SUMPRODUCT($D$10:D45,$BK$10:BK45)</f>
        <v>635628703.58439302</v>
      </c>
      <c r="BM45" s="30">
        <f t="shared" si="10"/>
        <v>4.3</v>
      </c>
      <c r="BN45" s="183">
        <f t="shared" si="13"/>
        <v>114195258.11066</v>
      </c>
      <c r="BO45" s="184">
        <f t="shared" si="11"/>
        <v>2893611539.4786401</v>
      </c>
      <c r="BP45" s="41">
        <f t="shared" si="14"/>
        <v>75895780.748522833</v>
      </c>
      <c r="BQ45" s="41">
        <f t="shared" si="15"/>
        <v>2694300216.5725608</v>
      </c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 s="185">
        <f t="shared" si="19"/>
        <v>37</v>
      </c>
      <c r="B46" s="186">
        <f t="shared" si="19"/>
        <v>2056</v>
      </c>
      <c r="C46" s="29">
        <v>4.3</v>
      </c>
      <c r="D46" s="183">
        <f t="shared" si="16"/>
        <v>0.21059</v>
      </c>
      <c r="E46" s="29">
        <f>[1]ResumoGeracaoAtual_BAC!B42</f>
        <v>998275.93146612763</v>
      </c>
      <c r="F46" s="183">
        <f t="shared" si="18"/>
        <v>582782.70541000005</v>
      </c>
      <c r="G46" s="29">
        <f>[1]ResumoGeracaoAtual_BC!F42</f>
        <v>582782.7054113294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183">
        <f t="shared" si="1"/>
        <v>299482.79246000003</v>
      </c>
      <c r="N46" s="29">
        <f>[1]ResumoGeracaoAtual_BAC!C42</f>
        <v>299482.79245707113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183">
        <f t="shared" si="2"/>
        <v>139758.63024</v>
      </c>
      <c r="V46" s="29">
        <f>[1]ResumoGeracaoAtual_BAC!E42</f>
        <v>139758.6302363991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183">
        <f t="shared" si="3"/>
        <v>2707643.4897799999</v>
      </c>
      <c r="AD46" s="29">
        <f>[1]ResumoGeracaoAtual_BAC!AS42</f>
        <v>2707643.4897780195</v>
      </c>
      <c r="AE46" s="29">
        <v>0</v>
      </c>
      <c r="AF46" s="29">
        <v>0</v>
      </c>
      <c r="AG46" s="29">
        <v>0</v>
      </c>
      <c r="AH46" s="183">
        <f t="shared" si="4"/>
        <v>621172.13595999999</v>
      </c>
      <c r="AI46" s="29">
        <f>[1]ResumoGeracaoAtual_BAC!AT42</f>
        <v>621172.13595853723</v>
      </c>
      <c r="AJ46" s="29">
        <v>0</v>
      </c>
      <c r="AK46" s="29">
        <v>0</v>
      </c>
      <c r="AL46" s="29">
        <v>0</v>
      </c>
      <c r="AM46" s="29">
        <v>0</v>
      </c>
      <c r="AN46" s="29">
        <f>[1]ResumoGeracaoAtual_BAC!Q42</f>
        <v>77906218.611923948</v>
      </c>
      <c r="AO46" s="29">
        <v>0</v>
      </c>
      <c r="AP46" s="29">
        <v>0</v>
      </c>
      <c r="AQ46" s="29">
        <f>SUM([1]ProjecoesAtuariais_Resumo!E42:J42)</f>
        <v>320000000</v>
      </c>
      <c r="AR46" s="183">
        <f t="shared" si="5"/>
        <v>402257058.36576998</v>
      </c>
      <c r="AS46" s="183">
        <f t="shared" si="6"/>
        <v>17281230.852219999</v>
      </c>
      <c r="AT46" s="29">
        <f>[1]ResumoGeracaoAtual_BC!B42</f>
        <v>9749853.9532700591</v>
      </c>
      <c r="AU46" s="29">
        <v>0</v>
      </c>
      <c r="AV46" s="29">
        <v>0</v>
      </c>
      <c r="AW46" s="29">
        <v>0</v>
      </c>
      <c r="AX46" s="29">
        <f>[1]ResumoGeracaoAtual_BC!C42</f>
        <v>7531376.8989495328</v>
      </c>
      <c r="AY46" s="29">
        <v>0</v>
      </c>
      <c r="AZ46" s="183">
        <f t="shared" si="7"/>
        <v>313346108.77415001</v>
      </c>
      <c r="BA46" s="29">
        <f>[1]ResumoGeracaoAtual_BAC!G42</f>
        <v>248733256.14031312</v>
      </c>
      <c r="BB46" s="29">
        <v>0</v>
      </c>
      <c r="BC46" s="29">
        <v>0</v>
      </c>
      <c r="BD46" s="29">
        <v>0</v>
      </c>
      <c r="BE46" s="29">
        <v>0</v>
      </c>
      <c r="BF46" s="29">
        <f>[1]ResumoGeracaoAtual_BAC!H42</f>
        <v>58110389.583681971</v>
      </c>
      <c r="BG46" s="29">
        <v>0</v>
      </c>
      <c r="BH46" s="29">
        <v>0</v>
      </c>
      <c r="BI46" s="29">
        <f>[1]ResumoGeracaoAtual_BAC!AX42</f>
        <v>6502463.0501536159</v>
      </c>
      <c r="BJ46" s="183">
        <f t="shared" si="8"/>
        <v>330627339.62637001</v>
      </c>
      <c r="BK46" s="183">
        <f t="shared" si="9"/>
        <v>71629718.739399999</v>
      </c>
      <c r="BL46" s="183">
        <f>$BO$9+SUMPRODUCT($D$10:D46,$BK$10:BK46)</f>
        <v>650713206.05372322</v>
      </c>
      <c r="BM46" s="30">
        <f t="shared" si="10"/>
        <v>4.3</v>
      </c>
      <c r="BN46" s="183">
        <f t="shared" si="13"/>
        <v>124425296.19757999</v>
      </c>
      <c r="BO46" s="184">
        <f t="shared" si="11"/>
        <v>3089666554.4156199</v>
      </c>
      <c r="BP46" s="41">
        <f t="shared" si="14"/>
        <v>70273697.021892667</v>
      </c>
      <c r="BQ46" s="41">
        <f t="shared" si="15"/>
        <v>2564989941.2990823</v>
      </c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 s="185">
        <f t="shared" si="19"/>
        <v>38</v>
      </c>
      <c r="B47" s="186">
        <f t="shared" si="19"/>
        <v>2057</v>
      </c>
      <c r="C47" s="29">
        <v>4.3</v>
      </c>
      <c r="D47" s="183">
        <f t="shared" si="16"/>
        <v>0.20191000000000001</v>
      </c>
      <c r="E47" s="29">
        <f>[1]ResumoGeracaoAtual_BAC!B43</f>
        <v>528716.54887428309</v>
      </c>
      <c r="F47" s="183">
        <f t="shared" si="18"/>
        <v>420759.77093</v>
      </c>
      <c r="G47" s="29">
        <f>[1]ResumoGeracaoAtual_BC!F43</f>
        <v>420759.77093077952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183">
        <f t="shared" si="1"/>
        <v>158614.97010000001</v>
      </c>
      <c r="N47" s="29">
        <f>[1]ResumoGeracaoAtual_BAC!C43</f>
        <v>158614.97009859901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183">
        <f t="shared" si="2"/>
        <v>74020.317630000005</v>
      </c>
      <c r="V47" s="29">
        <f>[1]ResumoGeracaoAtual_BAC!E43</f>
        <v>74020.317632172562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183">
        <f t="shared" si="3"/>
        <v>2613508.7575099999</v>
      </c>
      <c r="AD47" s="29">
        <f>[1]ResumoGeracaoAtual_BAC!AS43</f>
        <v>2613508.7575121364</v>
      </c>
      <c r="AE47" s="29">
        <v>0</v>
      </c>
      <c r="AF47" s="29">
        <v>0</v>
      </c>
      <c r="AG47" s="29">
        <v>0</v>
      </c>
      <c r="AH47" s="183">
        <f t="shared" si="4"/>
        <v>568311.22190999996</v>
      </c>
      <c r="AI47" s="29">
        <f>[1]ResumoGeracaoAtual_BAC!AT43</f>
        <v>568311.22190504847</v>
      </c>
      <c r="AJ47" s="29">
        <v>0</v>
      </c>
      <c r="AK47" s="29">
        <v>0</v>
      </c>
      <c r="AL47" s="29">
        <v>0</v>
      </c>
      <c r="AM47" s="29">
        <v>0</v>
      </c>
      <c r="AN47" s="29">
        <f>[1]ResumoGeracaoAtual_BAC!Q43</f>
        <v>74760996.339195445</v>
      </c>
      <c r="AO47" s="29">
        <v>0</v>
      </c>
      <c r="AP47" s="29">
        <v>0</v>
      </c>
      <c r="AQ47" s="29">
        <f>SUM([1]ProjecoesAtuariais_Resumo!E43:J43)</f>
        <v>320000000</v>
      </c>
      <c r="AR47" s="183">
        <f t="shared" si="5"/>
        <v>398596211.37728</v>
      </c>
      <c r="AS47" s="183">
        <f t="shared" si="6"/>
        <v>12615535.617389999</v>
      </c>
      <c r="AT47" s="29">
        <f>[1]ResumoGeracaoAtual_BC!B43</f>
        <v>6888102.7943029143</v>
      </c>
      <c r="AU47" s="29">
        <v>0</v>
      </c>
      <c r="AV47" s="29">
        <v>0</v>
      </c>
      <c r="AW47" s="29">
        <v>0</v>
      </c>
      <c r="AX47" s="29">
        <f>[1]ResumoGeracaoAtual_BC!C43</f>
        <v>5727432.8230837975</v>
      </c>
      <c r="AY47" s="29">
        <v>0</v>
      </c>
      <c r="AZ47" s="183">
        <f t="shared" si="7"/>
        <v>305987971.98176998</v>
      </c>
      <c r="BA47" s="29">
        <f>[1]ResumoGeracaoAtual_BAC!G43</f>
        <v>240534178.13283828</v>
      </c>
      <c r="BB47" s="29">
        <v>0</v>
      </c>
      <c r="BC47" s="29">
        <v>0</v>
      </c>
      <c r="BD47" s="29">
        <v>0</v>
      </c>
      <c r="BE47" s="29">
        <v>0</v>
      </c>
      <c r="BF47" s="29">
        <f>[1]ResumoGeracaoAtual_BAC!H43</f>
        <v>59196299.257791117</v>
      </c>
      <c r="BG47" s="29">
        <v>0</v>
      </c>
      <c r="BH47" s="29">
        <v>0</v>
      </c>
      <c r="BI47" s="29">
        <f>[1]ResumoGeracaoAtual_BAC!AX43</f>
        <v>6257494.5911378078</v>
      </c>
      <c r="BJ47" s="183">
        <f t="shared" si="8"/>
        <v>318603507.59916002</v>
      </c>
      <c r="BK47" s="183">
        <f t="shared" si="9"/>
        <v>79992703.778119996</v>
      </c>
      <c r="BL47" s="183">
        <f>$BO$9+SUMPRODUCT($D$10:D47,$BK$10:BK47)</f>
        <v>666864532.87356341</v>
      </c>
      <c r="BM47" s="30">
        <f t="shared" si="10"/>
        <v>4.3</v>
      </c>
      <c r="BN47" s="183">
        <f t="shared" si="13"/>
        <v>132855661.83987001</v>
      </c>
      <c r="BO47" s="184">
        <f t="shared" si="11"/>
        <v>3302514920.0336099</v>
      </c>
      <c r="BP47" s="41">
        <f t="shared" si="14"/>
        <v>64960635.819952466</v>
      </c>
      <c r="BQ47" s="41">
        <f t="shared" si="15"/>
        <v>2436023843.2482176</v>
      </c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25">
      <c r="A48" s="185">
        <f t="shared" si="19"/>
        <v>39</v>
      </c>
      <c r="B48" s="186">
        <f t="shared" si="19"/>
        <v>2058</v>
      </c>
      <c r="C48" s="29">
        <v>4.3</v>
      </c>
      <c r="D48" s="183">
        <f t="shared" si="16"/>
        <v>0.19359000000000001</v>
      </c>
      <c r="E48" s="29">
        <f>[1]ResumoGeracaoAtual_BAC!B44</f>
        <v>170629.82936720253</v>
      </c>
      <c r="F48" s="183">
        <f t="shared" si="18"/>
        <v>295017.72626999998</v>
      </c>
      <c r="G48" s="29">
        <f>[1]ResumoGeracaoAtual_BC!F44</f>
        <v>295017.72627448803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183">
        <f t="shared" si="1"/>
        <v>51188.949840000001</v>
      </c>
      <c r="N48" s="29">
        <f>[1]ResumoGeracaoAtual_BAC!C44</f>
        <v>51188.94984484309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183">
        <f t="shared" si="2"/>
        <v>23888.176019999999</v>
      </c>
      <c r="V48" s="29">
        <f>[1]ResumoGeracaoAtual_BAC!E44</f>
        <v>23888.176022986117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183">
        <f t="shared" si="3"/>
        <v>2516627.08923</v>
      </c>
      <c r="AD48" s="29">
        <f>[1]ResumoGeracaoAtual_BAC!AS44</f>
        <v>2516627.0892316569</v>
      </c>
      <c r="AE48" s="29">
        <v>0</v>
      </c>
      <c r="AF48" s="29">
        <v>0</v>
      </c>
      <c r="AG48" s="29">
        <v>0</v>
      </c>
      <c r="AH48" s="183">
        <f t="shared" si="4"/>
        <v>527841.82087000005</v>
      </c>
      <c r="AI48" s="29">
        <f>[1]ResumoGeracaoAtual_BAC!AT44</f>
        <v>527841.82086897292</v>
      </c>
      <c r="AJ48" s="29">
        <v>0</v>
      </c>
      <c r="AK48" s="29">
        <v>0</v>
      </c>
      <c r="AL48" s="29">
        <v>0</v>
      </c>
      <c r="AM48" s="29">
        <v>0</v>
      </c>
      <c r="AN48" s="29">
        <f>[1]ResumoGeracaoAtual_BAC!Q44</f>
        <v>71503140.197647333</v>
      </c>
      <c r="AO48" s="29">
        <v>0</v>
      </c>
      <c r="AP48" s="29">
        <v>0</v>
      </c>
      <c r="AQ48" s="29">
        <f>SUM([1]ProjecoesAtuariais_Resumo!E44:J44)</f>
        <v>320000000</v>
      </c>
      <c r="AR48" s="183">
        <f t="shared" si="5"/>
        <v>394917703.95987999</v>
      </c>
      <c r="AS48" s="183">
        <f t="shared" si="6"/>
        <v>8989980.1776500009</v>
      </c>
      <c r="AT48" s="29">
        <f>[1]ResumoGeracaoAtual_BC!B44</f>
        <v>4672936.4284487003</v>
      </c>
      <c r="AU48" s="29">
        <v>0</v>
      </c>
      <c r="AV48" s="29">
        <v>0</v>
      </c>
      <c r="AW48" s="29">
        <v>0</v>
      </c>
      <c r="AX48" s="29">
        <f>[1]ResumoGeracaoAtual_BC!C44</f>
        <v>4317043.7492038487</v>
      </c>
      <c r="AY48" s="29">
        <v>0</v>
      </c>
      <c r="AZ48" s="183">
        <f t="shared" si="7"/>
        <v>298092100.55441999</v>
      </c>
      <c r="BA48" s="29">
        <f>[1]ResumoGeracaoAtual_BAC!G44</f>
        <v>231979428.00380817</v>
      </c>
      <c r="BB48" s="29">
        <v>0</v>
      </c>
      <c r="BC48" s="29">
        <v>0</v>
      </c>
      <c r="BD48" s="29">
        <v>0</v>
      </c>
      <c r="BE48" s="29">
        <v>0</v>
      </c>
      <c r="BF48" s="29">
        <f>[1]ResumoGeracaoAtual_BAC!H44</f>
        <v>60088109.598429151</v>
      </c>
      <c r="BG48" s="29">
        <v>0</v>
      </c>
      <c r="BH48" s="29">
        <v>0</v>
      </c>
      <c r="BI48" s="29">
        <f>[1]ResumoGeracaoAtual_BAC!AX44</f>
        <v>6024562.9521851409</v>
      </c>
      <c r="BJ48" s="183">
        <f t="shared" si="8"/>
        <v>307082080.73207003</v>
      </c>
      <c r="BK48" s="183">
        <f t="shared" si="9"/>
        <v>87835623.227809995</v>
      </c>
      <c r="BL48" s="183">
        <f>$BO$9+SUMPRODUCT($D$10:D48,$BK$10:BK48)</f>
        <v>683868631.17423511</v>
      </c>
      <c r="BM48" s="30">
        <f t="shared" si="10"/>
        <v>4.3</v>
      </c>
      <c r="BN48" s="183">
        <f t="shared" si="13"/>
        <v>142008141.56145</v>
      </c>
      <c r="BO48" s="184">
        <f t="shared" si="11"/>
        <v>3532358684.8228698</v>
      </c>
      <c r="BP48" s="41">
        <f t="shared" si="14"/>
        <v>60056472.990392037</v>
      </c>
      <c r="BQ48" s="41">
        <f t="shared" si="15"/>
        <v>2312174210.1300936</v>
      </c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x14ac:dyDescent="0.25">
      <c r="A49" s="185">
        <f t="shared" si="19"/>
        <v>40</v>
      </c>
      <c r="B49" s="186">
        <f t="shared" si="19"/>
        <v>2059</v>
      </c>
      <c r="C49" s="29">
        <v>4.3</v>
      </c>
      <c r="D49" s="183">
        <f t="shared" si="16"/>
        <v>0.18561</v>
      </c>
      <c r="E49" s="29">
        <f>[1]ResumoGeracaoAtual_BAC!B45</f>
        <v>96082.317782710685</v>
      </c>
      <c r="F49" s="183">
        <f t="shared" si="18"/>
        <v>201674.97442000001</v>
      </c>
      <c r="G49" s="29">
        <f>[1]ResumoGeracaoAtual_BC!F45</f>
        <v>201674.97441851732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183">
        <f t="shared" si="1"/>
        <v>28824.696220000002</v>
      </c>
      <c r="N49" s="29">
        <f>[1]ResumoGeracaoAtual_BAC!C45</f>
        <v>28824.696217965935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183">
        <f t="shared" si="2"/>
        <v>13451.524359999999</v>
      </c>
      <c r="V49" s="29">
        <f>[1]ResumoGeracaoAtual_BAC!E45</f>
        <v>13451.524355951318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183">
        <f t="shared" si="3"/>
        <v>2417206.7522499999</v>
      </c>
      <c r="AD49" s="29">
        <f>[1]ResumoGeracaoAtual_BAC!AS45</f>
        <v>2417206.7522546919</v>
      </c>
      <c r="AE49" s="29">
        <v>0</v>
      </c>
      <c r="AF49" s="29">
        <v>0</v>
      </c>
      <c r="AG49" s="29">
        <v>0</v>
      </c>
      <c r="AH49" s="183">
        <f t="shared" si="4"/>
        <v>498160.87589000002</v>
      </c>
      <c r="AI49" s="29">
        <f>[1]ResumoGeracaoAtual_BAC!AT45</f>
        <v>498160.87589315983</v>
      </c>
      <c r="AJ49" s="29">
        <v>0</v>
      </c>
      <c r="AK49" s="29">
        <v>0</v>
      </c>
      <c r="AL49" s="29">
        <v>0</v>
      </c>
      <c r="AM49" s="29">
        <v>0</v>
      </c>
      <c r="AN49" s="29">
        <f>[1]ResumoGeracaoAtual_BAC!Q45</f>
        <v>68148433.554564282</v>
      </c>
      <c r="AO49" s="29">
        <v>0</v>
      </c>
      <c r="AP49" s="29">
        <v>0</v>
      </c>
      <c r="AQ49" s="29">
        <f>SUM([1]ProjecoesAtuariais_Resumo!E45:J45)</f>
        <v>320000000</v>
      </c>
      <c r="AR49" s="183">
        <f t="shared" si="5"/>
        <v>391307752.37769997</v>
      </c>
      <c r="AS49" s="183">
        <f t="shared" si="6"/>
        <v>6280626.00801</v>
      </c>
      <c r="AT49" s="29">
        <f>[1]ResumoGeracaoAtual_BC!B45</f>
        <v>3033035.9876263738</v>
      </c>
      <c r="AU49" s="29">
        <v>0</v>
      </c>
      <c r="AV49" s="29">
        <v>0</v>
      </c>
      <c r="AW49" s="29">
        <v>0</v>
      </c>
      <c r="AX49" s="29">
        <f>[1]ResumoGeracaoAtual_BC!C45</f>
        <v>3247590.0203859755</v>
      </c>
      <c r="AY49" s="29">
        <v>0</v>
      </c>
      <c r="AZ49" s="183">
        <f t="shared" si="7"/>
        <v>289520989.93996</v>
      </c>
      <c r="BA49" s="29">
        <f>[1]ResumoGeracaoAtual_BAC!G45</f>
        <v>222950474.4761751</v>
      </c>
      <c r="BB49" s="29">
        <v>0</v>
      </c>
      <c r="BC49" s="29">
        <v>0</v>
      </c>
      <c r="BD49" s="29">
        <v>0</v>
      </c>
      <c r="BE49" s="29">
        <v>0</v>
      </c>
      <c r="BF49" s="29">
        <f>[1]ResumoGeracaoAtual_BAC!H45</f>
        <v>60768599.811517194</v>
      </c>
      <c r="BG49" s="29">
        <v>0</v>
      </c>
      <c r="BH49" s="29">
        <v>0</v>
      </c>
      <c r="BI49" s="29">
        <f>[1]ResumoGeracaoAtual_BAC!AX45</f>
        <v>5801915.6522697471</v>
      </c>
      <c r="BJ49" s="183">
        <f t="shared" si="8"/>
        <v>295801615.94796997</v>
      </c>
      <c r="BK49" s="183">
        <f t="shared" si="9"/>
        <v>95506136.429729998</v>
      </c>
      <c r="BL49" s="183">
        <f>$BO$9+SUMPRODUCT($D$10:D49,$BK$10:BK49)</f>
        <v>701595525.15695739</v>
      </c>
      <c r="BM49" s="30">
        <f t="shared" si="10"/>
        <v>4.3</v>
      </c>
      <c r="BN49" s="183">
        <f t="shared" si="13"/>
        <v>151891423.44738001</v>
      </c>
      <c r="BO49" s="184">
        <f t="shared" si="11"/>
        <v>3779756244.6999798</v>
      </c>
      <c r="BP49" s="41">
        <f t="shared" si="14"/>
        <v>55484241.023556828</v>
      </c>
      <c r="BQ49" s="41">
        <f t="shared" si="15"/>
        <v>2191627520.4304948</v>
      </c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25">
      <c r="A50" s="185">
        <f t="shared" si="19"/>
        <v>41</v>
      </c>
      <c r="B50" s="186">
        <f t="shared" si="19"/>
        <v>2060</v>
      </c>
      <c r="C50" s="29">
        <v>4.3</v>
      </c>
      <c r="D50" s="183">
        <f t="shared" si="16"/>
        <v>0.17796000000000001</v>
      </c>
      <c r="E50" s="29">
        <f>[1]ResumoGeracaoAtual_BAC!B46</f>
        <v>44546.036152934015</v>
      </c>
      <c r="F50" s="183">
        <f t="shared" si="18"/>
        <v>136170.72214</v>
      </c>
      <c r="G50" s="29">
        <f>[1]ResumoGeracaoAtual_BC!F46</f>
        <v>136170.72214139046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183">
        <f t="shared" si="1"/>
        <v>13363.811089999999</v>
      </c>
      <c r="N50" s="29">
        <f>[1]ResumoGeracaoAtual_BAC!C46</f>
        <v>13363.811085393976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183">
        <f t="shared" si="2"/>
        <v>6236.4450500000003</v>
      </c>
      <c r="V50" s="29">
        <f>[1]ResumoGeracaoAtual_BAC!E46</f>
        <v>6236.445053426969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183">
        <f t="shared" si="3"/>
        <v>2315489.5232500001</v>
      </c>
      <c r="AD50" s="29">
        <f>[1]ResumoGeracaoAtual_BAC!AS46</f>
        <v>2315489.5232497999</v>
      </c>
      <c r="AE50" s="29">
        <v>0</v>
      </c>
      <c r="AF50" s="29">
        <v>0</v>
      </c>
      <c r="AG50" s="29">
        <v>0</v>
      </c>
      <c r="AH50" s="183">
        <f t="shared" si="4"/>
        <v>477225.29836999997</v>
      </c>
      <c r="AI50" s="29">
        <f>[1]ResumoGeracaoAtual_BAC!AT46</f>
        <v>477225.29837423889</v>
      </c>
      <c r="AJ50" s="29">
        <v>0</v>
      </c>
      <c r="AK50" s="29">
        <v>0</v>
      </c>
      <c r="AL50" s="29">
        <v>0</v>
      </c>
      <c r="AM50" s="29">
        <v>0</v>
      </c>
      <c r="AN50" s="29">
        <f>[1]ResumoGeracaoAtual_BAC!Q46</f>
        <v>64712212.098062158</v>
      </c>
      <c r="AO50" s="29">
        <v>0</v>
      </c>
      <c r="AP50" s="29">
        <v>0</v>
      </c>
      <c r="AQ50" s="29">
        <f>SUM([1]ProjecoesAtuariais_Resumo!E46:J46)</f>
        <v>380000000</v>
      </c>
      <c r="AR50" s="183">
        <f t="shared" si="5"/>
        <v>447660697.89796001</v>
      </c>
      <c r="AS50" s="183">
        <f t="shared" si="6"/>
        <v>4345193.5366599998</v>
      </c>
      <c r="AT50" s="29">
        <f>[1]ResumoGeracaoAtual_BC!B46</f>
        <v>1885744.1786251708</v>
      </c>
      <c r="AU50" s="29">
        <v>0</v>
      </c>
      <c r="AV50" s="29">
        <v>0</v>
      </c>
      <c r="AW50" s="29">
        <v>0</v>
      </c>
      <c r="AX50" s="29">
        <f>[1]ResumoGeracaoAtual_BC!C46</f>
        <v>2459449.3580322731</v>
      </c>
      <c r="AY50" s="29">
        <v>0</v>
      </c>
      <c r="AZ50" s="183">
        <f t="shared" si="7"/>
        <v>280491056.84435999</v>
      </c>
      <c r="BA50" s="29">
        <f>[1]ResumoGeracaoAtual_BAC!G46</f>
        <v>213683983.81174955</v>
      </c>
      <c r="BB50" s="29">
        <v>0</v>
      </c>
      <c r="BC50" s="29">
        <v>0</v>
      </c>
      <c r="BD50" s="29">
        <v>0</v>
      </c>
      <c r="BE50" s="29">
        <v>0</v>
      </c>
      <c r="BF50" s="29">
        <f>[1]ResumoGeracaoAtual_BAC!H46</f>
        <v>61221175.063644961</v>
      </c>
      <c r="BG50" s="29">
        <v>0</v>
      </c>
      <c r="BH50" s="29">
        <v>0</v>
      </c>
      <c r="BI50" s="29">
        <f>[1]ResumoGeracaoAtual_BAC!AX46</f>
        <v>5585897.968964098</v>
      </c>
      <c r="BJ50" s="183">
        <f t="shared" si="8"/>
        <v>284836250.38102001</v>
      </c>
      <c r="BK50" s="183">
        <f t="shared" si="9"/>
        <v>162824447.51694</v>
      </c>
      <c r="BL50" s="183">
        <f>$BO$9+SUMPRODUCT($D$10:D50,$BK$10:BK50)</f>
        <v>730571763.83707201</v>
      </c>
      <c r="BM50" s="30">
        <f t="shared" si="10"/>
        <v>4.3</v>
      </c>
      <c r="BN50" s="183">
        <f t="shared" si="13"/>
        <v>162529518.5221</v>
      </c>
      <c r="BO50" s="184">
        <f t="shared" si="11"/>
        <v>4105110210.7390199</v>
      </c>
      <c r="BP50" s="41">
        <f t="shared" si="14"/>
        <v>51237971.843300574</v>
      </c>
      <c r="BQ50" s="41">
        <f t="shared" si="15"/>
        <v>2075137859.6536732</v>
      </c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5">
      <c r="A51" s="185">
        <f t="shared" si="19"/>
        <v>42</v>
      </c>
      <c r="B51" s="186">
        <f t="shared" si="19"/>
        <v>2061</v>
      </c>
      <c r="C51" s="29">
        <v>4.3</v>
      </c>
      <c r="D51" s="183">
        <f t="shared" si="16"/>
        <v>0.17061999999999999</v>
      </c>
      <c r="E51" s="29">
        <f>[1]ResumoGeracaoAtual_BAC!B47</f>
        <v>22209.127552449518</v>
      </c>
      <c r="F51" s="183">
        <f t="shared" si="18"/>
        <v>93360.597450000001</v>
      </c>
      <c r="G51" s="29">
        <f>[1]ResumoGeracaoAtual_BC!F47</f>
        <v>93360.597453318216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183">
        <f t="shared" si="1"/>
        <v>6662.7382699999998</v>
      </c>
      <c r="N51" s="29">
        <f>[1]ResumoGeracaoAtual_BAC!C47</f>
        <v>6662.7382657348553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183">
        <f t="shared" si="2"/>
        <v>3109.2779399999999</v>
      </c>
      <c r="V51" s="29">
        <f>[1]ResumoGeracaoAtual_BAC!E47</f>
        <v>3109.2779357388058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183">
        <f t="shared" si="3"/>
        <v>2211751.1383600002</v>
      </c>
      <c r="AD51" s="29">
        <f>[1]ResumoGeracaoAtual_BAC!AS47</f>
        <v>2211751.13835544</v>
      </c>
      <c r="AE51" s="29">
        <v>0</v>
      </c>
      <c r="AF51" s="29">
        <v>0</v>
      </c>
      <c r="AG51" s="29">
        <v>0</v>
      </c>
      <c r="AH51" s="183">
        <f t="shared" si="4"/>
        <v>462827.92693999998</v>
      </c>
      <c r="AI51" s="29">
        <f>[1]ResumoGeracaoAtual_BAC!AT47</f>
        <v>462827.92693767243</v>
      </c>
      <c r="AJ51" s="29">
        <v>0</v>
      </c>
      <c r="AK51" s="29">
        <v>0</v>
      </c>
      <c r="AL51" s="29">
        <v>0</v>
      </c>
      <c r="AM51" s="29">
        <v>0</v>
      </c>
      <c r="AN51" s="29">
        <f>[1]ResumoGeracaoAtual_BAC!Q47</f>
        <v>61211325.952015467</v>
      </c>
      <c r="AO51" s="29">
        <v>0</v>
      </c>
      <c r="AP51" s="29">
        <v>0</v>
      </c>
      <c r="AQ51" s="29">
        <f>SUM([1]ProjecoesAtuariais_Resumo!E47:J47)</f>
        <v>320000000</v>
      </c>
      <c r="AR51" s="183">
        <f t="shared" si="5"/>
        <v>383989037.63098001</v>
      </c>
      <c r="AS51" s="183">
        <f t="shared" si="6"/>
        <v>3029670.52673</v>
      </c>
      <c r="AT51" s="29">
        <f>[1]ResumoGeracaoAtual_BC!B47</f>
        <v>1138736.5506442878</v>
      </c>
      <c r="AU51" s="29">
        <v>0</v>
      </c>
      <c r="AV51" s="29">
        <v>0</v>
      </c>
      <c r="AW51" s="29">
        <v>0</v>
      </c>
      <c r="AX51" s="29">
        <f>[1]ResumoGeracaoAtual_BC!C47</f>
        <v>1890933.9760882179</v>
      </c>
      <c r="AY51" s="29">
        <v>0</v>
      </c>
      <c r="AZ51" s="183">
        <f t="shared" si="7"/>
        <v>271003876.17047</v>
      </c>
      <c r="BA51" s="29">
        <f>[1]ResumoGeracaoAtual_BAC!G47</f>
        <v>204200006.87873623</v>
      </c>
      <c r="BB51" s="29">
        <v>0</v>
      </c>
      <c r="BC51" s="29">
        <v>0</v>
      </c>
      <c r="BD51" s="29">
        <v>0</v>
      </c>
      <c r="BE51" s="29">
        <v>0</v>
      </c>
      <c r="BF51" s="29">
        <f>[1]ResumoGeracaoAtual_BAC!H47</f>
        <v>61430227.020656921</v>
      </c>
      <c r="BG51" s="29">
        <v>0</v>
      </c>
      <c r="BH51" s="29">
        <v>0</v>
      </c>
      <c r="BI51" s="29">
        <f>[1]ResumoGeracaoAtual_BAC!AX47</f>
        <v>5373642.2710735621</v>
      </c>
      <c r="BJ51" s="183">
        <f t="shared" si="8"/>
        <v>274033546.6972</v>
      </c>
      <c r="BK51" s="183">
        <f t="shared" si="9"/>
        <v>109955490.93378</v>
      </c>
      <c r="BL51" s="183">
        <f>$BO$9+SUMPRODUCT($D$10:D51,$BK$10:BK51)</f>
        <v>749332369.70019352</v>
      </c>
      <c r="BM51" s="30">
        <f t="shared" si="10"/>
        <v>4.3</v>
      </c>
      <c r="BN51" s="183">
        <f t="shared" si="13"/>
        <v>176519739.06178001</v>
      </c>
      <c r="BO51" s="184">
        <f t="shared" si="11"/>
        <v>4391585440.73458</v>
      </c>
      <c r="BP51" s="41">
        <f t="shared" si="14"/>
        <v>47271124.617499545</v>
      </c>
      <c r="BQ51" s="41">
        <f t="shared" si="15"/>
        <v>1961751671.6262312</v>
      </c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5">
      <c r="A52" s="185">
        <f t="shared" si="19"/>
        <v>43</v>
      </c>
      <c r="B52" s="186">
        <f t="shared" si="19"/>
        <v>2062</v>
      </c>
      <c r="C52" s="29">
        <v>4.3</v>
      </c>
      <c r="D52" s="183">
        <f t="shared" si="16"/>
        <v>0.16359000000000001</v>
      </c>
      <c r="E52" s="29">
        <f>[1]ResumoGeracaoAtual_BAC!B48</f>
        <v>0</v>
      </c>
      <c r="F52" s="183">
        <f t="shared" si="18"/>
        <v>67684.784369999994</v>
      </c>
      <c r="G52" s="29">
        <f>[1]ResumoGeracaoAtual_BC!F48</f>
        <v>67684.784369811488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183">
        <f t="shared" si="1"/>
        <v>0</v>
      </c>
      <c r="N52" s="29">
        <f>[1]ResumoGeracaoAtual_BAC!C48</f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183">
        <f t="shared" si="2"/>
        <v>0</v>
      </c>
      <c r="V52" s="29">
        <f>[1]ResumoGeracaoAtual_BAC!E48</f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183">
        <f t="shared" si="3"/>
        <v>2106297.3805999998</v>
      </c>
      <c r="AD52" s="29">
        <f>[1]ResumoGeracaoAtual_BAC!AS48</f>
        <v>2106297.3805982806</v>
      </c>
      <c r="AE52" s="29">
        <v>0</v>
      </c>
      <c r="AF52" s="29">
        <v>0</v>
      </c>
      <c r="AG52" s="29">
        <v>0</v>
      </c>
      <c r="AH52" s="183">
        <f t="shared" si="4"/>
        <v>452990.45597000001</v>
      </c>
      <c r="AI52" s="29">
        <f>[1]ResumoGeracaoAtual_BAC!AT48</f>
        <v>452990.45597081853</v>
      </c>
      <c r="AJ52" s="29">
        <v>0</v>
      </c>
      <c r="AK52" s="29">
        <v>0</v>
      </c>
      <c r="AL52" s="29">
        <v>0</v>
      </c>
      <c r="AM52" s="29">
        <v>0</v>
      </c>
      <c r="AN52" s="29">
        <f>[1]ResumoGeracaoAtual_BAC!Q48</f>
        <v>57663924.80944553</v>
      </c>
      <c r="AO52" s="29">
        <v>0</v>
      </c>
      <c r="AP52" s="29">
        <v>0</v>
      </c>
      <c r="AQ52" s="29">
        <f>SUM([1]ProjecoesAtuariais_Resumo!E48:J48)</f>
        <v>320000000</v>
      </c>
      <c r="AR52" s="183">
        <f t="shared" si="5"/>
        <v>380290897.43039</v>
      </c>
      <c r="AS52" s="183">
        <f t="shared" si="6"/>
        <v>2181924.9662199998</v>
      </c>
      <c r="AT52" s="29">
        <f>[1]ResumoGeracaoAtual_BC!B48</f>
        <v>694269.3802274405</v>
      </c>
      <c r="AU52" s="29">
        <v>0</v>
      </c>
      <c r="AV52" s="29">
        <v>0</v>
      </c>
      <c r="AW52" s="29">
        <v>0</v>
      </c>
      <c r="AX52" s="29">
        <f>[1]ResumoGeracaoAtual_BC!C48</f>
        <v>1487655.585990787</v>
      </c>
      <c r="AY52" s="29">
        <v>0</v>
      </c>
      <c r="AZ52" s="183">
        <f t="shared" si="7"/>
        <v>261095975.77546</v>
      </c>
      <c r="BA52" s="29">
        <f>[1]ResumoGeracaoAtual_BAC!G48</f>
        <v>194551851.04210585</v>
      </c>
      <c r="BB52" s="29">
        <v>0</v>
      </c>
      <c r="BC52" s="29">
        <v>0</v>
      </c>
      <c r="BD52" s="29">
        <v>0</v>
      </c>
      <c r="BE52" s="29">
        <v>0</v>
      </c>
      <c r="BF52" s="29">
        <f>[1]ResumoGeracaoAtual_BAC!H48</f>
        <v>61381812.954105422</v>
      </c>
      <c r="BG52" s="29">
        <v>0</v>
      </c>
      <c r="BH52" s="29">
        <v>0</v>
      </c>
      <c r="BI52" s="29">
        <f>[1]ResumoGeracaoAtual_BAC!AX48</f>
        <v>5162311.7792485906</v>
      </c>
      <c r="BJ52" s="183">
        <f t="shared" si="8"/>
        <v>263277900.74168</v>
      </c>
      <c r="BK52" s="183">
        <f t="shared" si="9"/>
        <v>117012996.68871</v>
      </c>
      <c r="BL52" s="183">
        <f>$BO$9+SUMPRODUCT($D$10:D52,$BK$10:BK52)</f>
        <v>768474525.82849967</v>
      </c>
      <c r="BM52" s="30">
        <f t="shared" si="10"/>
        <v>4.3</v>
      </c>
      <c r="BN52" s="183">
        <f t="shared" si="13"/>
        <v>188838173.95159</v>
      </c>
      <c r="BO52" s="184">
        <f t="shared" si="11"/>
        <v>4697436611.3748798</v>
      </c>
      <c r="BP52" s="41">
        <f t="shared" si="14"/>
        <v>43548797.510101065</v>
      </c>
      <c r="BQ52" s="41">
        <f t="shared" si="15"/>
        <v>1850823894.1792953</v>
      </c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5">
      <c r="A53" s="185">
        <f t="shared" si="19"/>
        <v>44</v>
      </c>
      <c r="B53" s="186">
        <f t="shared" si="19"/>
        <v>2063</v>
      </c>
      <c r="C53" s="29">
        <v>4.3</v>
      </c>
      <c r="D53" s="183">
        <f t="shared" si="16"/>
        <v>0.15684999999999999</v>
      </c>
      <c r="E53" s="29">
        <f>[1]ResumoGeracaoAtual_BAC!B49</f>
        <v>0</v>
      </c>
      <c r="F53" s="183">
        <f t="shared" si="18"/>
        <v>53499.579039999997</v>
      </c>
      <c r="G53" s="29">
        <f>[1]ResumoGeracaoAtual_BC!F49</f>
        <v>53499.579039970027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183">
        <f t="shared" si="1"/>
        <v>0</v>
      </c>
      <c r="N53" s="29">
        <f>[1]ResumoGeracaoAtual_BAC!C49</f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183">
        <f t="shared" si="2"/>
        <v>0</v>
      </c>
      <c r="V53" s="29">
        <f>[1]ResumoGeracaoAtual_BAC!E49</f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183">
        <f t="shared" si="3"/>
        <v>1999459.3869400001</v>
      </c>
      <c r="AD53" s="29">
        <f>[1]ResumoGeracaoAtual_BAC!AS49</f>
        <v>1999459.386936778</v>
      </c>
      <c r="AE53" s="29">
        <v>0</v>
      </c>
      <c r="AF53" s="29">
        <v>0</v>
      </c>
      <c r="AG53" s="29">
        <v>0</v>
      </c>
      <c r="AH53" s="183">
        <f t="shared" si="4"/>
        <v>446095.27717999998</v>
      </c>
      <c r="AI53" s="29">
        <f>[1]ResumoGeracaoAtual_BAC!AT49</f>
        <v>446095.27717687091</v>
      </c>
      <c r="AJ53" s="29">
        <v>0</v>
      </c>
      <c r="AK53" s="29">
        <v>0</v>
      </c>
      <c r="AL53" s="29">
        <v>0</v>
      </c>
      <c r="AM53" s="29">
        <v>0</v>
      </c>
      <c r="AN53" s="29">
        <f>[1]ResumoGeracaoAtual_BAC!Q49</f>
        <v>54089305.163305491</v>
      </c>
      <c r="AO53" s="29">
        <v>0</v>
      </c>
      <c r="AP53" s="29">
        <v>0</v>
      </c>
      <c r="AQ53" s="29">
        <f>SUM([1]ProjecoesAtuariais_Resumo!E49:J49)</f>
        <v>320000000</v>
      </c>
      <c r="AR53" s="183">
        <f t="shared" si="5"/>
        <v>376588359.40647</v>
      </c>
      <c r="AS53" s="183">
        <f t="shared" si="6"/>
        <v>1660494.0204799999</v>
      </c>
      <c r="AT53" s="29">
        <f>[1]ResumoGeracaoAtual_BC!B49</f>
        <v>454409.57945958094</v>
      </c>
      <c r="AU53" s="29">
        <v>0</v>
      </c>
      <c r="AV53" s="29">
        <v>0</v>
      </c>
      <c r="AW53" s="29">
        <v>0</v>
      </c>
      <c r="AX53" s="29">
        <f>[1]ResumoGeracaoAtual_BC!C49</f>
        <v>1206084.4410232664</v>
      </c>
      <c r="AY53" s="29">
        <v>0</v>
      </c>
      <c r="AZ53" s="183">
        <f t="shared" si="7"/>
        <v>250768175.72016001</v>
      </c>
      <c r="BA53" s="29">
        <f>[1]ResumoGeracaoAtual_BAC!G49</f>
        <v>184754110.68124881</v>
      </c>
      <c r="BB53" s="29">
        <v>0</v>
      </c>
      <c r="BC53" s="29">
        <v>0</v>
      </c>
      <c r="BD53" s="29">
        <v>0</v>
      </c>
      <c r="BE53" s="29">
        <v>0</v>
      </c>
      <c r="BF53" s="29">
        <f>[1]ResumoGeracaoAtual_BAC!H49</f>
        <v>61064483.279289842</v>
      </c>
      <c r="BG53" s="29">
        <v>0</v>
      </c>
      <c r="BH53" s="29">
        <v>0</v>
      </c>
      <c r="BI53" s="29">
        <f>[1]ResumoGeracaoAtual_BAC!AX49</f>
        <v>4949581.7596204299</v>
      </c>
      <c r="BJ53" s="183">
        <f t="shared" si="8"/>
        <v>252428669.74064001</v>
      </c>
      <c r="BK53" s="183">
        <f t="shared" si="9"/>
        <v>124159689.66583</v>
      </c>
      <c r="BL53" s="183">
        <f>$BO$9+SUMPRODUCT($D$10:D53,$BK$10:BK53)</f>
        <v>787948973.15258503</v>
      </c>
      <c r="BM53" s="30">
        <f t="shared" si="10"/>
        <v>4.3</v>
      </c>
      <c r="BN53" s="183">
        <f t="shared" si="13"/>
        <v>201989774.28911999</v>
      </c>
      <c r="BO53" s="184">
        <f t="shared" si="11"/>
        <v>5023586075.3298302</v>
      </c>
      <c r="BP53" s="41">
        <f t="shared" si="14"/>
        <v>40035965.330660313</v>
      </c>
      <c r="BQ53" s="41">
        <f t="shared" si="15"/>
        <v>1741564491.8837237</v>
      </c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5">
      <c r="A54" s="185">
        <f t="shared" si="19"/>
        <v>45</v>
      </c>
      <c r="B54" s="186">
        <f t="shared" si="19"/>
        <v>2064</v>
      </c>
      <c r="C54" s="29">
        <v>4.3</v>
      </c>
      <c r="D54" s="183">
        <f t="shared" si="16"/>
        <v>0.15038000000000001</v>
      </c>
      <c r="E54" s="29">
        <f>[1]ResumoGeracaoAtual_BAC!B50</f>
        <v>0</v>
      </c>
      <c r="F54" s="183">
        <f t="shared" si="18"/>
        <v>45760.256000000001</v>
      </c>
      <c r="G54" s="29">
        <f>[1]ResumoGeracaoAtual_BC!F50</f>
        <v>45760.255999628083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183">
        <f t="shared" si="1"/>
        <v>0</v>
      </c>
      <c r="N54" s="29">
        <f>[1]ResumoGeracaoAtual_BAC!C50</f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183">
        <f t="shared" si="2"/>
        <v>0</v>
      </c>
      <c r="V54" s="29">
        <f>[1]ResumoGeracaoAtual_BAC!E50</f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183">
        <f t="shared" si="3"/>
        <v>1891599.3491400001</v>
      </c>
      <c r="AD54" s="29">
        <f>[1]ResumoGeracaoAtual_BAC!AS50</f>
        <v>1891599.3491353511</v>
      </c>
      <c r="AE54" s="29">
        <v>0</v>
      </c>
      <c r="AF54" s="29">
        <v>0</v>
      </c>
      <c r="AG54" s="29">
        <v>0</v>
      </c>
      <c r="AH54" s="183">
        <f t="shared" si="4"/>
        <v>440813.8</v>
      </c>
      <c r="AI54" s="29">
        <f>[1]ResumoGeracaoAtual_BAC!AT50</f>
        <v>440813.79999836651</v>
      </c>
      <c r="AJ54" s="29">
        <v>0</v>
      </c>
      <c r="AK54" s="29">
        <v>0</v>
      </c>
      <c r="AL54" s="29">
        <v>0</v>
      </c>
      <c r="AM54" s="29">
        <v>0</v>
      </c>
      <c r="AN54" s="29">
        <f>[1]ResumoGeracaoAtual_BAC!Q50</f>
        <v>50507535.098994859</v>
      </c>
      <c r="AO54" s="29">
        <v>0</v>
      </c>
      <c r="AP54" s="29">
        <v>0</v>
      </c>
      <c r="AQ54" s="29">
        <f>SUM([1]ProjecoesAtuariais_Resumo!E50:J50)</f>
        <v>320000000</v>
      </c>
      <c r="AR54" s="183">
        <f t="shared" si="5"/>
        <v>372885708.50414002</v>
      </c>
      <c r="AS54" s="183">
        <f t="shared" si="6"/>
        <v>1343487.4152599999</v>
      </c>
      <c r="AT54" s="29">
        <f>[1]ResumoGeracaoAtual_BC!B50</f>
        <v>331506.96243753424</v>
      </c>
      <c r="AU54" s="29">
        <v>0</v>
      </c>
      <c r="AV54" s="29">
        <v>0</v>
      </c>
      <c r="AW54" s="29">
        <v>0</v>
      </c>
      <c r="AX54" s="29">
        <f>[1]ResumoGeracaoAtual_BC!C50</f>
        <v>1011980.4528229518</v>
      </c>
      <c r="AY54" s="29">
        <v>0</v>
      </c>
      <c r="AZ54" s="183">
        <f t="shared" si="7"/>
        <v>240063651.63433</v>
      </c>
      <c r="BA54" s="29">
        <f>[1]ResumoGeracaoAtual_BAC!G50</f>
        <v>174860406.88478661</v>
      </c>
      <c r="BB54" s="29">
        <v>0</v>
      </c>
      <c r="BC54" s="29">
        <v>0</v>
      </c>
      <c r="BD54" s="29">
        <v>0</v>
      </c>
      <c r="BE54" s="29">
        <v>0</v>
      </c>
      <c r="BF54" s="29">
        <f>[1]ResumoGeracaoAtual_BAC!H50</f>
        <v>60469771.43484585</v>
      </c>
      <c r="BG54" s="29">
        <v>0</v>
      </c>
      <c r="BH54" s="29">
        <v>0</v>
      </c>
      <c r="BI54" s="29">
        <f>[1]ResumoGeracaoAtual_BAC!AX50</f>
        <v>4733473.3146978598</v>
      </c>
      <c r="BJ54" s="183">
        <f t="shared" si="8"/>
        <v>241407139.04958999</v>
      </c>
      <c r="BK54" s="183">
        <f t="shared" si="9"/>
        <v>131478569.45455</v>
      </c>
      <c r="BL54" s="183">
        <f>$BO$9+SUMPRODUCT($D$10:D54,$BK$10:BK54)</f>
        <v>807720720.42716026</v>
      </c>
      <c r="BM54" s="30">
        <f t="shared" si="10"/>
        <v>4.3</v>
      </c>
      <c r="BN54" s="183">
        <f t="shared" si="13"/>
        <v>216014201.23918</v>
      </c>
      <c r="BO54" s="184">
        <f t="shared" si="11"/>
        <v>5371078846.0235596</v>
      </c>
      <c r="BP54" s="41">
        <f t="shared" si="14"/>
        <v>36711219.13786862</v>
      </c>
      <c r="BQ54" s="41">
        <f t="shared" si="15"/>
        <v>1633649251.6351535</v>
      </c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x14ac:dyDescent="0.25">
      <c r="A55" s="185">
        <f t="shared" si="19"/>
        <v>46</v>
      </c>
      <c r="B55" s="186">
        <f t="shared" si="19"/>
        <v>2065</v>
      </c>
      <c r="C55" s="29">
        <v>4.3</v>
      </c>
      <c r="D55" s="183">
        <f t="shared" si="16"/>
        <v>0.14418</v>
      </c>
      <c r="E55" s="29">
        <f>[1]ResumoGeracaoAtual_BAC!B51</f>
        <v>0</v>
      </c>
      <c r="F55" s="183">
        <f t="shared" si="18"/>
        <v>40952.025419999998</v>
      </c>
      <c r="G55" s="29">
        <f>[1]ResumoGeracaoAtual_BC!F51</f>
        <v>40952.025422255778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183">
        <f t="shared" si="1"/>
        <v>0</v>
      </c>
      <c r="N55" s="29">
        <f>[1]ResumoGeracaoAtual_BAC!C51</f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183">
        <f t="shared" si="2"/>
        <v>0</v>
      </c>
      <c r="V55" s="29">
        <f>[1]ResumoGeracaoAtual_BAC!E51</f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183">
        <f t="shared" si="3"/>
        <v>1783116.9670500001</v>
      </c>
      <c r="AD55" s="29">
        <f>[1]ResumoGeracaoAtual_BAC!AS51</f>
        <v>1783116.9670545908</v>
      </c>
      <c r="AE55" s="29">
        <v>0</v>
      </c>
      <c r="AF55" s="29">
        <v>0</v>
      </c>
      <c r="AG55" s="29">
        <v>0</v>
      </c>
      <c r="AH55" s="183">
        <f t="shared" si="4"/>
        <v>435997.79571999999</v>
      </c>
      <c r="AI55" s="29">
        <f>[1]ResumoGeracaoAtual_BAC!AT51</f>
        <v>435997.79571845266</v>
      </c>
      <c r="AJ55" s="29">
        <v>0</v>
      </c>
      <c r="AK55" s="29">
        <v>0</v>
      </c>
      <c r="AL55" s="29">
        <v>0</v>
      </c>
      <c r="AM55" s="29">
        <v>0</v>
      </c>
      <c r="AN55" s="29">
        <f>[1]ResumoGeracaoAtual_BAC!Q51</f>
        <v>46939153.448580742</v>
      </c>
      <c r="AO55" s="29">
        <v>0</v>
      </c>
      <c r="AP55" s="29">
        <v>0</v>
      </c>
      <c r="AQ55" s="29">
        <f>SUM([1]ProjecoesAtuariais_Resumo!E51:J51)</f>
        <v>380000000</v>
      </c>
      <c r="AR55" s="183">
        <f t="shared" si="5"/>
        <v>429199220.23676997</v>
      </c>
      <c r="AS55" s="183">
        <f t="shared" si="6"/>
        <v>1142219.9667700001</v>
      </c>
      <c r="AT55" s="29">
        <f>[1]ResumoGeracaoAtual_BC!B51</f>
        <v>263973.56607835519</v>
      </c>
      <c r="AU55" s="29">
        <v>0</v>
      </c>
      <c r="AV55" s="29">
        <v>0</v>
      </c>
      <c r="AW55" s="29">
        <v>0</v>
      </c>
      <c r="AX55" s="29">
        <f>[1]ResumoGeracaoAtual_BC!C51</f>
        <v>878246.40069016127</v>
      </c>
      <c r="AY55" s="29">
        <v>0</v>
      </c>
      <c r="AZ55" s="183">
        <f t="shared" si="7"/>
        <v>229014162.80034</v>
      </c>
      <c r="BA55" s="29">
        <f>[1]ResumoGeracaoAtual_BAC!G51</f>
        <v>164908888.61356747</v>
      </c>
      <c r="BB55" s="29">
        <v>0</v>
      </c>
      <c r="BC55" s="29">
        <v>0</v>
      </c>
      <c r="BD55" s="29">
        <v>0</v>
      </c>
      <c r="BE55" s="29">
        <v>0</v>
      </c>
      <c r="BF55" s="29">
        <f>[1]ResumoGeracaoAtual_BAC!H51</f>
        <v>59592403.936435997</v>
      </c>
      <c r="BG55" s="29">
        <v>0</v>
      </c>
      <c r="BH55" s="29">
        <v>0</v>
      </c>
      <c r="BI55" s="29">
        <f>[1]ResumoGeracaoAtual_BAC!AX51</f>
        <v>4512870.2503354391</v>
      </c>
      <c r="BJ55" s="183">
        <f t="shared" si="8"/>
        <v>230156382.76710999</v>
      </c>
      <c r="BK55" s="183">
        <f t="shared" si="9"/>
        <v>199042837.46966001</v>
      </c>
      <c r="BL55" s="183">
        <f>$BO$9+SUMPRODUCT($D$10:D55,$BK$10:BK55)</f>
        <v>836418716.73353589</v>
      </c>
      <c r="BM55" s="30">
        <f t="shared" si="10"/>
        <v>4.3</v>
      </c>
      <c r="BN55" s="183">
        <f t="shared" si="13"/>
        <v>230956390.37900999</v>
      </c>
      <c r="BO55" s="184">
        <f t="shared" si="11"/>
        <v>5801078073.8722296</v>
      </c>
      <c r="BP55" s="41">
        <f t="shared" si="14"/>
        <v>33558401.930882834</v>
      </c>
      <c r="BQ55" s="41">
        <f t="shared" si="15"/>
        <v>1526907287.8551691</v>
      </c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5">
      <c r="A56" s="185">
        <f t="shared" si="19"/>
        <v>47</v>
      </c>
      <c r="B56" s="186">
        <f t="shared" si="19"/>
        <v>2066</v>
      </c>
      <c r="C56" s="29">
        <v>4.3</v>
      </c>
      <c r="D56" s="183">
        <f t="shared" si="16"/>
        <v>0.13824</v>
      </c>
      <c r="E56" s="29">
        <f>[1]ResumoGeracaoAtual_BAC!B52</f>
        <v>0</v>
      </c>
      <c r="F56" s="183">
        <f t="shared" si="18"/>
        <v>37235.667459999997</v>
      </c>
      <c r="G56" s="29">
        <f>[1]ResumoGeracaoAtual_BC!F52</f>
        <v>37235.667457738156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183">
        <f t="shared" si="1"/>
        <v>0</v>
      </c>
      <c r="N56" s="29">
        <f>[1]ResumoGeracaoAtual_BAC!C52</f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183">
        <f t="shared" si="2"/>
        <v>0</v>
      </c>
      <c r="V56" s="29">
        <f>[1]ResumoGeracaoAtual_BAC!E52</f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183">
        <f t="shared" si="3"/>
        <v>1674457.00496</v>
      </c>
      <c r="AD56" s="29">
        <f>[1]ResumoGeracaoAtual_BAC!AS52</f>
        <v>1674457.004959394</v>
      </c>
      <c r="AE56" s="29">
        <v>0</v>
      </c>
      <c r="AF56" s="29">
        <v>0</v>
      </c>
      <c r="AG56" s="29">
        <v>0</v>
      </c>
      <c r="AH56" s="183">
        <f t="shared" si="4"/>
        <v>430623.34375</v>
      </c>
      <c r="AI56" s="29">
        <f>[1]ResumoGeracaoAtual_BAC!AT52</f>
        <v>430623.3437508854</v>
      </c>
      <c r="AJ56" s="29">
        <v>0</v>
      </c>
      <c r="AK56" s="29">
        <v>0</v>
      </c>
      <c r="AL56" s="29">
        <v>0</v>
      </c>
      <c r="AM56" s="29">
        <v>0</v>
      </c>
      <c r="AN56" s="29">
        <f>[1]ResumoGeracaoAtual_BAC!Q52</f>
        <v>43405133.978942752</v>
      </c>
      <c r="AO56" s="29">
        <v>0</v>
      </c>
      <c r="AP56" s="29">
        <v>0</v>
      </c>
      <c r="AQ56" s="29">
        <f>SUM([1]ProjecoesAtuariais_Resumo!E52:J52)</f>
        <v>320000000</v>
      </c>
      <c r="AR56" s="183">
        <f t="shared" si="5"/>
        <v>365547449.99510998</v>
      </c>
      <c r="AS56" s="183">
        <f t="shared" si="6"/>
        <v>1002043.6564</v>
      </c>
      <c r="AT56" s="29">
        <f>[1]ResumoGeracaoAtual_BC!B52</f>
        <v>219017.3618041529</v>
      </c>
      <c r="AU56" s="29">
        <v>0</v>
      </c>
      <c r="AV56" s="29">
        <v>0</v>
      </c>
      <c r="AW56" s="29">
        <v>0</v>
      </c>
      <c r="AX56" s="29">
        <f>[1]ResumoGeracaoAtual_BC!C52</f>
        <v>783026.29459558148</v>
      </c>
      <c r="AY56" s="29">
        <v>0</v>
      </c>
      <c r="AZ56" s="183">
        <f t="shared" si="7"/>
        <v>217658849.10596001</v>
      </c>
      <c r="BA56" s="29">
        <f>[1]ResumoGeracaoAtual_BAC!G52</f>
        <v>154940664.51238394</v>
      </c>
      <c r="BB56" s="29">
        <v>0</v>
      </c>
      <c r="BC56" s="29">
        <v>0</v>
      </c>
      <c r="BD56" s="29">
        <v>0</v>
      </c>
      <c r="BE56" s="29">
        <v>0</v>
      </c>
      <c r="BF56" s="29">
        <f>[1]ResumoGeracaoAtual_BAC!H52</f>
        <v>58430716.10803844</v>
      </c>
      <c r="BG56" s="29">
        <v>0</v>
      </c>
      <c r="BH56" s="29">
        <v>0</v>
      </c>
      <c r="BI56" s="29">
        <f>[1]ResumoGeracaoAtual_BAC!AX52</f>
        <v>4287468.4855364421</v>
      </c>
      <c r="BJ56" s="183">
        <f t="shared" si="8"/>
        <v>218660892.76236001</v>
      </c>
      <c r="BK56" s="183">
        <f t="shared" si="9"/>
        <v>146886557.23275</v>
      </c>
      <c r="BL56" s="183">
        <f>$BO$9+SUMPRODUCT($D$10:D56,$BK$10:BK56)</f>
        <v>856724314.40539122</v>
      </c>
      <c r="BM56" s="30">
        <f t="shared" si="10"/>
        <v>4.3</v>
      </c>
      <c r="BN56" s="183">
        <f t="shared" si="13"/>
        <v>249446357.17651001</v>
      </c>
      <c r="BO56" s="184">
        <f t="shared" si="11"/>
        <v>6197410988.2814903</v>
      </c>
      <c r="BP56" s="41">
        <f t="shared" si="14"/>
        <v>30568548.810041454</v>
      </c>
      <c r="BQ56" s="41">
        <f t="shared" si="15"/>
        <v>1421437519.6669276</v>
      </c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5">
      <c r="A57" s="185">
        <f t="shared" si="19"/>
        <v>48</v>
      </c>
      <c r="B57" s="186">
        <f t="shared" si="19"/>
        <v>2067</v>
      </c>
      <c r="C57" s="29">
        <v>4.3</v>
      </c>
      <c r="D57" s="183">
        <f t="shared" si="16"/>
        <v>0.13253999999999999</v>
      </c>
      <c r="E57" s="29">
        <f>[1]ResumoGeracaoAtual_BAC!B53</f>
        <v>0</v>
      </c>
      <c r="F57" s="183">
        <f t="shared" si="18"/>
        <v>33899.943760000002</v>
      </c>
      <c r="G57" s="29">
        <f>[1]ResumoGeracaoAtual_BC!F53</f>
        <v>33899.943761663177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183">
        <f t="shared" si="1"/>
        <v>0</v>
      </c>
      <c r="N57" s="29">
        <f>[1]ResumoGeracaoAtual_BAC!C53</f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183">
        <f t="shared" si="2"/>
        <v>0</v>
      </c>
      <c r="V57" s="29">
        <f>[1]ResumoGeracaoAtual_BAC!E53</f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183">
        <f t="shared" si="3"/>
        <v>1566100.8732799999</v>
      </c>
      <c r="AD57" s="29">
        <f>[1]ResumoGeracaoAtual_BAC!AS53</f>
        <v>1566100.8732797867</v>
      </c>
      <c r="AE57" s="29">
        <v>0</v>
      </c>
      <c r="AF57" s="29">
        <v>0</v>
      </c>
      <c r="AG57" s="29">
        <v>0</v>
      </c>
      <c r="AH57" s="183">
        <f t="shared" si="4"/>
        <v>423850.98268999998</v>
      </c>
      <c r="AI57" s="29">
        <f>[1]ResumoGeracaoAtual_BAC!AT53</f>
        <v>423850.98269334174</v>
      </c>
      <c r="AJ57" s="29">
        <v>0</v>
      </c>
      <c r="AK57" s="29">
        <v>0</v>
      </c>
      <c r="AL57" s="29">
        <v>0</v>
      </c>
      <c r="AM57" s="29">
        <v>0</v>
      </c>
      <c r="AN57" s="29">
        <f>[1]ResumoGeracaoAtual_BAC!Q53</f>
        <v>39926300.779542342</v>
      </c>
      <c r="AO57" s="29">
        <v>0</v>
      </c>
      <c r="AP57" s="29">
        <v>0</v>
      </c>
      <c r="AQ57" s="29">
        <f>SUM([1]ProjecoesAtuariais_Resumo!E53:J53)</f>
        <v>320000000</v>
      </c>
      <c r="AR57" s="183">
        <f t="shared" si="5"/>
        <v>361950152.57927001</v>
      </c>
      <c r="AS57" s="183">
        <f t="shared" si="6"/>
        <v>892887.56658999994</v>
      </c>
      <c r="AT57" s="29">
        <f>[1]ResumoGeracaoAtual_BC!B53</f>
        <v>183472.58382099707</v>
      </c>
      <c r="AU57" s="29">
        <v>0</v>
      </c>
      <c r="AV57" s="29">
        <v>0</v>
      </c>
      <c r="AW57" s="29">
        <v>0</v>
      </c>
      <c r="AX57" s="29">
        <f>[1]ResumoGeracaoAtual_BC!C53</f>
        <v>709414.98276564677</v>
      </c>
      <c r="AY57" s="29">
        <v>0</v>
      </c>
      <c r="AZ57" s="183">
        <f t="shared" si="7"/>
        <v>206043512.87090999</v>
      </c>
      <c r="BA57" s="29">
        <f>[1]ResumoGeracaoAtual_BAC!G53</f>
        <v>144999158.21606681</v>
      </c>
      <c r="BB57" s="29">
        <v>0</v>
      </c>
      <c r="BC57" s="29">
        <v>0</v>
      </c>
      <c r="BD57" s="29">
        <v>0</v>
      </c>
      <c r="BE57" s="29">
        <v>0</v>
      </c>
      <c r="BF57" s="29">
        <f>[1]ResumoGeracaoAtual_BAC!H53</f>
        <v>56986778.175674401</v>
      </c>
      <c r="BG57" s="29">
        <v>0</v>
      </c>
      <c r="BH57" s="29">
        <v>0</v>
      </c>
      <c r="BI57" s="29">
        <f>[1]ResumoGeracaoAtual_BAC!AX53</f>
        <v>4057576.4791665571</v>
      </c>
      <c r="BJ57" s="183">
        <f t="shared" si="8"/>
        <v>206936400.4375</v>
      </c>
      <c r="BK57" s="183">
        <f t="shared" si="9"/>
        <v>155013752.14177001</v>
      </c>
      <c r="BL57" s="183">
        <f>$BO$9+SUMPRODUCT($D$10:D57,$BK$10:BK57)</f>
        <v>877269837.11426139</v>
      </c>
      <c r="BM57" s="30">
        <f t="shared" si="10"/>
        <v>4.3</v>
      </c>
      <c r="BN57" s="183">
        <f t="shared" si="13"/>
        <v>266488672.49610001</v>
      </c>
      <c r="BO57" s="184">
        <f t="shared" si="11"/>
        <v>6618913412.9193602</v>
      </c>
      <c r="BP57" s="41">
        <f t="shared" si="14"/>
        <v>27737282.177363053</v>
      </c>
      <c r="BQ57" s="41">
        <f t="shared" si="15"/>
        <v>1317520903.4247451</v>
      </c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25">
      <c r="A58" s="185">
        <f t="shared" si="19"/>
        <v>49</v>
      </c>
      <c r="B58" s="186">
        <f t="shared" si="19"/>
        <v>2068</v>
      </c>
      <c r="C58" s="29">
        <v>4.3</v>
      </c>
      <c r="D58" s="183">
        <f t="shared" si="16"/>
        <v>0.12708</v>
      </c>
      <c r="E58" s="29">
        <f>[1]ResumoGeracaoAtual_BAC!B54</f>
        <v>0</v>
      </c>
      <c r="F58" s="183">
        <f t="shared" si="18"/>
        <v>30769.442770000001</v>
      </c>
      <c r="G58" s="29">
        <f>[1]ResumoGeracaoAtual_BC!F54</f>
        <v>30769.442767665503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183">
        <f t="shared" si="1"/>
        <v>0</v>
      </c>
      <c r="N58" s="29">
        <f>[1]ResumoGeracaoAtual_BAC!C54</f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183">
        <f t="shared" si="2"/>
        <v>0</v>
      </c>
      <c r="V58" s="29">
        <f>[1]ResumoGeracaoAtual_BAC!E54</f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183">
        <f t="shared" si="3"/>
        <v>1458549.98178</v>
      </c>
      <c r="AD58" s="29">
        <f>[1]ResumoGeracaoAtual_BAC!AS54</f>
        <v>1458549.9817753844</v>
      </c>
      <c r="AE58" s="29">
        <v>0</v>
      </c>
      <c r="AF58" s="29">
        <v>0</v>
      </c>
      <c r="AG58" s="29">
        <v>0</v>
      </c>
      <c r="AH58" s="183">
        <f t="shared" si="4"/>
        <v>415138.00371999998</v>
      </c>
      <c r="AI58" s="29">
        <f>[1]ResumoGeracaoAtual_BAC!AT54</f>
        <v>415138.00372034463</v>
      </c>
      <c r="AJ58" s="29">
        <v>0</v>
      </c>
      <c r="AK58" s="29">
        <v>0</v>
      </c>
      <c r="AL58" s="29">
        <v>0</v>
      </c>
      <c r="AM58" s="29">
        <v>0</v>
      </c>
      <c r="AN58" s="29">
        <f>[1]ResumoGeracaoAtual_BAC!Q54</f>
        <v>36522639.549261421</v>
      </c>
      <c r="AO58" s="29">
        <v>0</v>
      </c>
      <c r="AP58" s="29">
        <v>0</v>
      </c>
      <c r="AQ58" s="29">
        <f>SUM([1]ProjecoesAtuariais_Resumo!E54:J54)</f>
        <v>320000000</v>
      </c>
      <c r="AR58" s="183">
        <f t="shared" si="5"/>
        <v>358427096.97753</v>
      </c>
      <c r="AS58" s="183">
        <f t="shared" si="6"/>
        <v>800018.70450999995</v>
      </c>
      <c r="AT58" s="29">
        <f>[1]ResumoGeracaoAtual_BC!B54</f>
        <v>153619.19283078983</v>
      </c>
      <c r="AU58" s="29">
        <v>0</v>
      </c>
      <c r="AV58" s="29">
        <v>0</v>
      </c>
      <c r="AW58" s="29">
        <v>0</v>
      </c>
      <c r="AX58" s="29">
        <f>[1]ResumoGeracaoAtual_BC!C54</f>
        <v>646399.51167520252</v>
      </c>
      <c r="AY58" s="29">
        <v>0</v>
      </c>
      <c r="AZ58" s="183">
        <f t="shared" si="7"/>
        <v>194220126.82995999</v>
      </c>
      <c r="BA58" s="29">
        <f>[1]ResumoGeracaoAtual_BAC!G54</f>
        <v>135129304.26257065</v>
      </c>
      <c r="BB58" s="29">
        <v>0</v>
      </c>
      <c r="BC58" s="29">
        <v>0</v>
      </c>
      <c r="BD58" s="29">
        <v>0</v>
      </c>
      <c r="BE58" s="29">
        <v>0</v>
      </c>
      <c r="BF58" s="29">
        <f>[1]ResumoGeracaoAtual_BAC!H54</f>
        <v>55266898.145145692</v>
      </c>
      <c r="BG58" s="29">
        <v>0</v>
      </c>
      <c r="BH58" s="29">
        <v>0</v>
      </c>
      <c r="BI58" s="29">
        <f>[1]ResumoGeracaoAtual_BAC!AX54</f>
        <v>3823924.4222444464</v>
      </c>
      <c r="BJ58" s="183">
        <f t="shared" si="8"/>
        <v>195020145.53446999</v>
      </c>
      <c r="BK58" s="183">
        <f t="shared" si="9"/>
        <v>163406951.44306001</v>
      </c>
      <c r="BL58" s="183">
        <f>$BO$9+SUMPRODUCT($D$10:D58,$BK$10:BK58)</f>
        <v>898035592.50364554</v>
      </c>
      <c r="BM58" s="30">
        <f t="shared" si="10"/>
        <v>4.3</v>
      </c>
      <c r="BN58" s="183">
        <f t="shared" si="13"/>
        <v>284613276.75553</v>
      </c>
      <c r="BO58" s="184">
        <f t="shared" si="11"/>
        <v>7066933641.1179504</v>
      </c>
      <c r="BP58" s="41">
        <f t="shared" si="14"/>
        <v>25062742.796478372</v>
      </c>
      <c r="BQ58" s="41">
        <f t="shared" si="15"/>
        <v>1215543025.6292009</v>
      </c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5">
      <c r="A59" s="185">
        <f t="shared" ref="A59:B74" si="20">A58+1</f>
        <v>50</v>
      </c>
      <c r="B59" s="186">
        <f t="shared" si="20"/>
        <v>2069</v>
      </c>
      <c r="C59" s="29">
        <v>4.3</v>
      </c>
      <c r="D59" s="183">
        <f t="shared" si="16"/>
        <v>0.12184</v>
      </c>
      <c r="E59" s="29">
        <f>[1]ResumoGeracaoAtual_BAC!B55</f>
        <v>0</v>
      </c>
      <c r="F59" s="183">
        <f t="shared" si="18"/>
        <v>27809.206040000001</v>
      </c>
      <c r="G59" s="29">
        <f>[1]ResumoGeracaoAtual_BC!F55</f>
        <v>27809.206036876269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183">
        <f t="shared" si="1"/>
        <v>0</v>
      </c>
      <c r="N59" s="29">
        <f>[1]ResumoGeracaoAtual_BAC!C55</f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183">
        <f t="shared" si="2"/>
        <v>0</v>
      </c>
      <c r="V59" s="29">
        <f>[1]ResumoGeracaoAtual_BAC!E55</f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183">
        <f t="shared" si="3"/>
        <v>1352289.2116</v>
      </c>
      <c r="AD59" s="29">
        <f>[1]ResumoGeracaoAtual_BAC!AS55</f>
        <v>1352289.2116042268</v>
      </c>
      <c r="AE59" s="29">
        <v>0</v>
      </c>
      <c r="AF59" s="29">
        <v>0</v>
      </c>
      <c r="AG59" s="29">
        <v>0</v>
      </c>
      <c r="AH59" s="183">
        <f t="shared" si="4"/>
        <v>404244.45396000001</v>
      </c>
      <c r="AI59" s="29">
        <f>[1]ResumoGeracaoAtual_BAC!AT55</f>
        <v>404244.45395577169</v>
      </c>
      <c r="AJ59" s="29">
        <v>0</v>
      </c>
      <c r="AK59" s="29">
        <v>0</v>
      </c>
      <c r="AL59" s="29">
        <v>0</v>
      </c>
      <c r="AM59" s="29">
        <v>0</v>
      </c>
      <c r="AN59" s="29">
        <f>[1]ResumoGeracaoAtual_BAC!Q55</f>
        <v>33212695.895855777</v>
      </c>
      <c r="AO59" s="29">
        <v>0</v>
      </c>
      <c r="AP59" s="29">
        <v>0</v>
      </c>
      <c r="AQ59" s="29">
        <f>SUM([1]ProjecoesAtuariais_Resumo!E55:J55)</f>
        <v>320000000</v>
      </c>
      <c r="AR59" s="183">
        <f t="shared" si="5"/>
        <v>354997038.76745999</v>
      </c>
      <c r="AS59" s="183">
        <f t="shared" si="6"/>
        <v>716538.49739000003</v>
      </c>
      <c r="AT59" s="29">
        <f>[1]ResumoGeracaoAtual_BC!B55</f>
        <v>128296.23690196226</v>
      </c>
      <c r="AU59" s="29">
        <v>0</v>
      </c>
      <c r="AV59" s="29">
        <v>0</v>
      </c>
      <c r="AW59" s="29">
        <v>0</v>
      </c>
      <c r="AX59" s="29">
        <f>[1]ResumoGeracaoAtual_BC!C55</f>
        <v>588242.26048397645</v>
      </c>
      <c r="AY59" s="29">
        <v>0</v>
      </c>
      <c r="AZ59" s="183">
        <f t="shared" si="7"/>
        <v>182244999.61464</v>
      </c>
      <c r="BA59" s="29">
        <f>[1]ResumoGeracaoAtual_BAC!G55</f>
        <v>125375741.89591429</v>
      </c>
      <c r="BB59" s="29">
        <v>0</v>
      </c>
      <c r="BC59" s="29">
        <v>0</v>
      </c>
      <c r="BD59" s="29">
        <v>0</v>
      </c>
      <c r="BE59" s="29">
        <v>0</v>
      </c>
      <c r="BF59" s="29">
        <f>[1]ResumoGeracaoAtual_BAC!H55</f>
        <v>53281776.579274587</v>
      </c>
      <c r="BG59" s="29">
        <v>0</v>
      </c>
      <c r="BH59" s="29">
        <v>0</v>
      </c>
      <c r="BI59" s="29">
        <f>[1]ResumoGeracaoAtual_BAC!AX55</f>
        <v>3587481.1394514968</v>
      </c>
      <c r="BJ59" s="183">
        <f t="shared" si="8"/>
        <v>182961538.11203</v>
      </c>
      <c r="BK59" s="183">
        <f t="shared" si="9"/>
        <v>172035500.65542999</v>
      </c>
      <c r="BL59" s="183">
        <f>$BO$9+SUMPRODUCT($D$10:D59,$BK$10:BK59)</f>
        <v>918996397.90350306</v>
      </c>
      <c r="BM59" s="30">
        <f t="shared" si="10"/>
        <v>4.3</v>
      </c>
      <c r="BN59" s="183">
        <f t="shared" si="13"/>
        <v>303878146.56806999</v>
      </c>
      <c r="BO59" s="184">
        <f t="shared" si="11"/>
        <v>7542847288.3414497</v>
      </c>
      <c r="BP59" s="41">
        <f t="shared" si="14"/>
        <v>22543963.107412275</v>
      </c>
      <c r="BQ59" s="41">
        <f t="shared" si="15"/>
        <v>1115926173.8169076</v>
      </c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25">
      <c r="A60" s="185">
        <f t="shared" si="20"/>
        <v>51</v>
      </c>
      <c r="B60" s="186">
        <f t="shared" si="20"/>
        <v>2070</v>
      </c>
      <c r="C60" s="29">
        <v>4.3</v>
      </c>
      <c r="D60" s="183">
        <f t="shared" si="16"/>
        <v>0.11681999999999999</v>
      </c>
      <c r="E60" s="29">
        <f>[1]ResumoGeracaoAtual_BAC!B56</f>
        <v>0</v>
      </c>
      <c r="F60" s="183">
        <f t="shared" si="18"/>
        <v>25004.543969999999</v>
      </c>
      <c r="G60" s="29">
        <f>[1]ResumoGeracaoAtual_BC!F56</f>
        <v>25004.543972958465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183">
        <f t="shared" si="1"/>
        <v>0</v>
      </c>
      <c r="N60" s="29">
        <f>[1]ResumoGeracaoAtual_BAC!C56</f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183">
        <f t="shared" si="2"/>
        <v>0</v>
      </c>
      <c r="V60" s="29">
        <f>[1]ResumoGeracaoAtual_BAC!E56</f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183">
        <f t="shared" si="3"/>
        <v>1247774.2762200001</v>
      </c>
      <c r="AD60" s="29">
        <f>[1]ResumoGeracaoAtual_BAC!AS56</f>
        <v>1247774.2762240686</v>
      </c>
      <c r="AE60" s="29">
        <v>0</v>
      </c>
      <c r="AF60" s="29">
        <v>0</v>
      </c>
      <c r="AG60" s="29">
        <v>0</v>
      </c>
      <c r="AH60" s="183">
        <f t="shared" si="4"/>
        <v>391138.67343000002</v>
      </c>
      <c r="AI60" s="29">
        <f>[1]ResumoGeracaoAtual_BAC!AT56</f>
        <v>391138.67343373084</v>
      </c>
      <c r="AJ60" s="29">
        <v>0</v>
      </c>
      <c r="AK60" s="29">
        <v>0</v>
      </c>
      <c r="AL60" s="29">
        <v>0</v>
      </c>
      <c r="AM60" s="29">
        <v>0</v>
      </c>
      <c r="AN60" s="29">
        <f>[1]ResumoGeracaoAtual_BAC!Q56</f>
        <v>30013123.245058782</v>
      </c>
      <c r="AO60" s="29">
        <v>0</v>
      </c>
      <c r="AP60" s="29">
        <v>0</v>
      </c>
      <c r="AQ60" s="29">
        <f>SUM([1]ProjecoesAtuariais_Resumo!E56:J56)</f>
        <v>380000000</v>
      </c>
      <c r="AR60" s="183">
        <f t="shared" si="5"/>
        <v>411677040.73868001</v>
      </c>
      <c r="AS60" s="183">
        <f t="shared" si="6"/>
        <v>639377.04007999995</v>
      </c>
      <c r="AT60" s="29">
        <f>[1]ResumoGeracaoAtual_BC!B56</f>
        <v>106835.26657334711</v>
      </c>
      <c r="AU60" s="29">
        <v>0</v>
      </c>
      <c r="AV60" s="29">
        <v>0</v>
      </c>
      <c r="AW60" s="29">
        <v>0</v>
      </c>
      <c r="AX60" s="29">
        <f>[1]ResumoGeracaoAtual_BC!C56</f>
        <v>532541.773507762</v>
      </c>
      <c r="AY60" s="29">
        <v>0</v>
      </c>
      <c r="AZ60" s="183">
        <f t="shared" si="7"/>
        <v>170177454.02274999</v>
      </c>
      <c r="BA60" s="29">
        <f>[1]ResumoGeracaoAtual_BAC!G56</f>
        <v>115781801.9646396</v>
      </c>
      <c r="BB60" s="29">
        <v>0</v>
      </c>
      <c r="BC60" s="29">
        <v>0</v>
      </c>
      <c r="BD60" s="29">
        <v>0</v>
      </c>
      <c r="BE60" s="29">
        <v>0</v>
      </c>
      <c r="BF60" s="29">
        <f>[1]ResumoGeracaoAtual_BAC!H56</f>
        <v>51046302.429428592</v>
      </c>
      <c r="BG60" s="29">
        <v>0</v>
      </c>
      <c r="BH60" s="29">
        <v>0</v>
      </c>
      <c r="BI60" s="29">
        <f>[1]ResumoGeracaoAtual_BAC!AX56</f>
        <v>3349349.6286829859</v>
      </c>
      <c r="BJ60" s="183">
        <f t="shared" si="8"/>
        <v>170816831.06283</v>
      </c>
      <c r="BK60" s="183">
        <f t="shared" si="9"/>
        <v>240860209.67585</v>
      </c>
      <c r="BL60" s="183">
        <f>$BO$9+SUMPRODUCT($D$10:D60,$BK$10:BK60)</f>
        <v>947133687.5978359</v>
      </c>
      <c r="BM60" s="30">
        <f t="shared" si="10"/>
        <v>4.3</v>
      </c>
      <c r="BN60" s="183">
        <f t="shared" si="13"/>
        <v>324342433.39867997</v>
      </c>
      <c r="BO60" s="184">
        <f t="shared" si="11"/>
        <v>8108049931.4159803</v>
      </c>
      <c r="BP60" s="41">
        <f t="shared" si="14"/>
        <v>20180034.62846715</v>
      </c>
      <c r="BQ60" s="41">
        <f t="shared" si="15"/>
        <v>1019091748.737591</v>
      </c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25">
      <c r="A61" s="185">
        <f t="shared" si="20"/>
        <v>52</v>
      </c>
      <c r="B61" s="186">
        <f t="shared" si="20"/>
        <v>2071</v>
      </c>
      <c r="C61" s="29">
        <v>4.3</v>
      </c>
      <c r="D61" s="183">
        <f t="shared" si="16"/>
        <v>0.112</v>
      </c>
      <c r="E61" s="29">
        <f>[1]ResumoGeracaoAtual_BAC!B57</f>
        <v>0</v>
      </c>
      <c r="F61" s="183">
        <f t="shared" si="18"/>
        <v>22343.97651</v>
      </c>
      <c r="G61" s="29">
        <f>[1]ResumoGeracaoAtual_BC!F57</f>
        <v>22343.976505563882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183">
        <f t="shared" si="1"/>
        <v>0</v>
      </c>
      <c r="N61" s="29">
        <f>[1]ResumoGeracaoAtual_BAC!C57</f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183">
        <f t="shared" si="2"/>
        <v>0</v>
      </c>
      <c r="V61" s="29">
        <f>[1]ResumoGeracaoAtual_BAC!E57</f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183">
        <f t="shared" si="3"/>
        <v>1145448.0663099999</v>
      </c>
      <c r="AD61" s="29">
        <f>[1]ResumoGeracaoAtual_BAC!AS57</f>
        <v>1145448.0663064611</v>
      </c>
      <c r="AE61" s="29">
        <v>0</v>
      </c>
      <c r="AF61" s="29">
        <v>0</v>
      </c>
      <c r="AG61" s="29">
        <v>0</v>
      </c>
      <c r="AH61" s="183">
        <f t="shared" si="4"/>
        <v>375903.65357999998</v>
      </c>
      <c r="AI61" s="29">
        <f>[1]ResumoGeracaoAtual_BAC!AT57</f>
        <v>375903.65357762261</v>
      </c>
      <c r="AJ61" s="29">
        <v>0</v>
      </c>
      <c r="AK61" s="29">
        <v>0</v>
      </c>
      <c r="AL61" s="29">
        <v>0</v>
      </c>
      <c r="AM61" s="29">
        <v>0</v>
      </c>
      <c r="AN61" s="29">
        <f>[1]ResumoGeracaoAtual_BAC!Q57</f>
        <v>26938693.301390376</v>
      </c>
      <c r="AO61" s="29">
        <v>0</v>
      </c>
      <c r="AP61" s="29">
        <v>0</v>
      </c>
      <c r="AQ61" s="29">
        <f>SUM([1]ProjecoesAtuariais_Resumo!E57:J57)</f>
        <v>320000000</v>
      </c>
      <c r="AR61" s="183">
        <f t="shared" si="5"/>
        <v>348482388.99778998</v>
      </c>
      <c r="AS61" s="183">
        <f t="shared" si="6"/>
        <v>567216.9325</v>
      </c>
      <c r="AT61" s="29">
        <f>[1]ResumoGeracaoAtual_BC!B57</f>
        <v>88662.393446323025</v>
      </c>
      <c r="AU61" s="29">
        <v>0</v>
      </c>
      <c r="AV61" s="29">
        <v>0</v>
      </c>
      <c r="AW61" s="29">
        <v>0</v>
      </c>
      <c r="AX61" s="29">
        <f>[1]ResumoGeracaoAtual_BC!C57</f>
        <v>478554.53904868616</v>
      </c>
      <c r="AY61" s="29">
        <v>0</v>
      </c>
      <c r="AZ61" s="183">
        <f t="shared" si="7"/>
        <v>158080065.70473999</v>
      </c>
      <c r="BA61" s="29">
        <f>[1]ResumoGeracaoAtual_BAC!G57</f>
        <v>106389395.60053794</v>
      </c>
      <c r="BB61" s="29">
        <v>0</v>
      </c>
      <c r="BC61" s="29">
        <v>0</v>
      </c>
      <c r="BD61" s="29">
        <v>0</v>
      </c>
      <c r="BE61" s="29">
        <v>0</v>
      </c>
      <c r="BF61" s="29">
        <f>[1]ResumoGeracaoAtual_BAC!H57</f>
        <v>48579939.07210166</v>
      </c>
      <c r="BG61" s="29">
        <v>0</v>
      </c>
      <c r="BH61" s="29">
        <v>0</v>
      </c>
      <c r="BI61" s="29">
        <f>[1]ResumoGeracaoAtual_BAC!AX57</f>
        <v>3110731.0321026924</v>
      </c>
      <c r="BJ61" s="183">
        <f t="shared" si="8"/>
        <v>158647282.63723999</v>
      </c>
      <c r="BK61" s="183">
        <f t="shared" si="9"/>
        <v>189835106.36054999</v>
      </c>
      <c r="BL61" s="183">
        <f>$BO$9+SUMPRODUCT($D$10:D61,$BK$10:BK61)</f>
        <v>968395219.51021743</v>
      </c>
      <c r="BM61" s="30">
        <f t="shared" si="10"/>
        <v>4.3</v>
      </c>
      <c r="BN61" s="183">
        <f t="shared" si="13"/>
        <v>348646147.05089003</v>
      </c>
      <c r="BO61" s="184">
        <f t="shared" si="11"/>
        <v>8646531184.8274193</v>
      </c>
      <c r="BP61" s="41">
        <f t="shared" si="14"/>
        <v>17969840.273643706</v>
      </c>
      <c r="BQ61" s="41">
        <f t="shared" si="15"/>
        <v>925446774.09265089</v>
      </c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25">
      <c r="A62" s="185">
        <f t="shared" si="20"/>
        <v>53</v>
      </c>
      <c r="B62" s="186">
        <f t="shared" si="20"/>
        <v>2072</v>
      </c>
      <c r="C62" s="29">
        <v>4.3</v>
      </c>
      <c r="D62" s="183">
        <f t="shared" si="16"/>
        <v>0.10738</v>
      </c>
      <c r="E62" s="29">
        <f>[1]ResumoGeracaoAtual_BAC!B58</f>
        <v>0</v>
      </c>
      <c r="F62" s="183">
        <f t="shared" si="18"/>
        <v>19819.101549999999</v>
      </c>
      <c r="G62" s="29">
        <f>[1]ResumoGeracaoAtual_BC!F58</f>
        <v>19819.101546831098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183">
        <f t="shared" si="1"/>
        <v>0</v>
      </c>
      <c r="N62" s="29">
        <f>[1]ResumoGeracaoAtual_BAC!C58</f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183">
        <f t="shared" si="2"/>
        <v>0</v>
      </c>
      <c r="V62" s="29">
        <f>[1]ResumoGeracaoAtual_BAC!E58</f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183">
        <f t="shared" si="3"/>
        <v>1045748.0997</v>
      </c>
      <c r="AD62" s="29">
        <f>[1]ResumoGeracaoAtual_BAC!AS58</f>
        <v>1045748.0996975102</v>
      </c>
      <c r="AE62" s="29">
        <v>0</v>
      </c>
      <c r="AF62" s="29">
        <v>0</v>
      </c>
      <c r="AG62" s="29">
        <v>0</v>
      </c>
      <c r="AH62" s="183">
        <f t="shared" si="4"/>
        <v>358684.61352999997</v>
      </c>
      <c r="AI62" s="29">
        <f>[1]ResumoGeracaoAtual_BAC!AT58</f>
        <v>358684.61353281647</v>
      </c>
      <c r="AJ62" s="29">
        <v>0</v>
      </c>
      <c r="AK62" s="29">
        <v>0</v>
      </c>
      <c r="AL62" s="29">
        <v>0</v>
      </c>
      <c r="AM62" s="29">
        <v>0</v>
      </c>
      <c r="AN62" s="29">
        <f>[1]ResumoGeracaoAtual_BAC!Q58</f>
        <v>24002693.478789151</v>
      </c>
      <c r="AO62" s="29">
        <v>0</v>
      </c>
      <c r="AP62" s="29">
        <v>0</v>
      </c>
      <c r="AQ62" s="29">
        <f>SUM([1]ProjecoesAtuariais_Resumo!E58:J58)</f>
        <v>320000000</v>
      </c>
      <c r="AR62" s="183">
        <f t="shared" si="5"/>
        <v>345426945.29356998</v>
      </c>
      <c r="AS62" s="183">
        <f t="shared" si="6"/>
        <v>499371.38683999999</v>
      </c>
      <c r="AT62" s="29">
        <f>[1]ResumoGeracaoAtual_BC!B58</f>
        <v>73244.359315195281</v>
      </c>
      <c r="AU62" s="29">
        <v>0</v>
      </c>
      <c r="AV62" s="29">
        <v>0</v>
      </c>
      <c r="AW62" s="29">
        <v>0</v>
      </c>
      <c r="AX62" s="29">
        <f>[1]ResumoGeracaoAtual_BC!C58</f>
        <v>426127.0275205478</v>
      </c>
      <c r="AY62" s="29">
        <v>0</v>
      </c>
      <c r="AZ62" s="183">
        <f t="shared" si="7"/>
        <v>146018760.04392001</v>
      </c>
      <c r="BA62" s="29">
        <f>[1]ResumoGeracaoAtual_BAC!G58</f>
        <v>97238484.562240869</v>
      </c>
      <c r="BB62" s="29">
        <v>0</v>
      </c>
      <c r="BC62" s="29">
        <v>0</v>
      </c>
      <c r="BD62" s="29">
        <v>0</v>
      </c>
      <c r="BE62" s="29">
        <v>0</v>
      </c>
      <c r="BF62" s="29">
        <f>[1]ResumoGeracaoAtual_BAC!H58</f>
        <v>45907370.943818308</v>
      </c>
      <c r="BG62" s="29">
        <v>0</v>
      </c>
      <c r="BH62" s="29">
        <v>0</v>
      </c>
      <c r="BI62" s="29">
        <f>[1]ResumoGeracaoAtual_BAC!AX58</f>
        <v>2872904.5378578985</v>
      </c>
      <c r="BJ62" s="183">
        <f t="shared" si="8"/>
        <v>146518131.43076</v>
      </c>
      <c r="BK62" s="183">
        <f t="shared" si="9"/>
        <v>198908813.86280999</v>
      </c>
      <c r="BL62" s="183">
        <f>$BO$9+SUMPRODUCT($D$10:D62,$BK$10:BK62)</f>
        <v>989754047.94280601</v>
      </c>
      <c r="BM62" s="30">
        <f t="shared" si="10"/>
        <v>4.3</v>
      </c>
      <c r="BN62" s="183">
        <f t="shared" si="13"/>
        <v>371800840.94757998</v>
      </c>
      <c r="BO62" s="184">
        <f t="shared" si="11"/>
        <v>9217240839.6378098</v>
      </c>
      <c r="BP62" s="41">
        <f t="shared" si="14"/>
        <v>15911931.515146004</v>
      </c>
      <c r="BQ62" s="41">
        <f t="shared" si="15"/>
        <v>835376404.54516518</v>
      </c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x14ac:dyDescent="0.25">
      <c r="A63" s="185">
        <f t="shared" si="20"/>
        <v>54</v>
      </c>
      <c r="B63" s="186">
        <f t="shared" si="20"/>
        <v>2073</v>
      </c>
      <c r="C63" s="29">
        <v>4.3</v>
      </c>
      <c r="D63" s="183">
        <f t="shared" si="16"/>
        <v>0.10295</v>
      </c>
      <c r="E63" s="29">
        <f>[1]ResumoGeracaoAtual_BAC!B59</f>
        <v>0</v>
      </c>
      <c r="F63" s="183">
        <f t="shared" si="18"/>
        <v>17426.852480000001</v>
      </c>
      <c r="G63" s="29">
        <f>[1]ResumoGeracaoAtual_BC!F59</f>
        <v>17426.852476496835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183">
        <f t="shared" si="1"/>
        <v>0</v>
      </c>
      <c r="N63" s="29">
        <f>[1]ResumoGeracaoAtual_BAC!C59</f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183">
        <f t="shared" si="2"/>
        <v>0</v>
      </c>
      <c r="V63" s="29">
        <f>[1]ResumoGeracaoAtual_BAC!E59</f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183">
        <f t="shared" si="3"/>
        <v>949096.35575999995</v>
      </c>
      <c r="AD63" s="29">
        <f>[1]ResumoGeracaoAtual_BAC!AS59</f>
        <v>949096.35575595661</v>
      </c>
      <c r="AE63" s="29">
        <v>0</v>
      </c>
      <c r="AF63" s="29">
        <v>0</v>
      </c>
      <c r="AG63" s="29">
        <v>0</v>
      </c>
      <c r="AH63" s="183">
        <f t="shared" si="4"/>
        <v>339669.90750999999</v>
      </c>
      <c r="AI63" s="29">
        <f>[1]ResumoGeracaoAtual_BAC!AT59</f>
        <v>339669.90751455893</v>
      </c>
      <c r="AJ63" s="29">
        <v>0</v>
      </c>
      <c r="AK63" s="29">
        <v>0</v>
      </c>
      <c r="AL63" s="29">
        <v>0</v>
      </c>
      <c r="AM63" s="29">
        <v>0</v>
      </c>
      <c r="AN63" s="29">
        <f>[1]ResumoGeracaoAtual_BAC!Q59</f>
        <v>21216990.359329265</v>
      </c>
      <c r="AO63" s="29">
        <v>0</v>
      </c>
      <c r="AP63" s="29">
        <v>0</v>
      </c>
      <c r="AQ63" s="29">
        <f>SUM([1]ProjecoesAtuariais_Resumo!E59:J59)</f>
        <v>320000000</v>
      </c>
      <c r="AR63" s="183">
        <f t="shared" si="5"/>
        <v>342523183.47508001</v>
      </c>
      <c r="AS63" s="183">
        <f t="shared" si="6"/>
        <v>435482.59756999998</v>
      </c>
      <c r="AT63" s="29">
        <f>[1]ResumoGeracaoAtual_BC!B59</f>
        <v>60106.596107413243</v>
      </c>
      <c r="AU63" s="29">
        <v>0</v>
      </c>
      <c r="AV63" s="29">
        <v>0</v>
      </c>
      <c r="AW63" s="29">
        <v>0</v>
      </c>
      <c r="AX63" s="29">
        <f>[1]ResumoGeracaoAtual_BC!C59</f>
        <v>375376.00146106735</v>
      </c>
      <c r="AY63" s="29">
        <v>0</v>
      </c>
      <c r="AZ63" s="183">
        <f t="shared" si="7"/>
        <v>134061838.34964</v>
      </c>
      <c r="BA63" s="29">
        <f>[1]ResumoGeracaoAtual_BAC!G59</f>
        <v>88366476.893855408</v>
      </c>
      <c r="BB63" s="29">
        <v>0</v>
      </c>
      <c r="BC63" s="29">
        <v>0</v>
      </c>
      <c r="BD63" s="29">
        <v>0</v>
      </c>
      <c r="BE63" s="29">
        <v>0</v>
      </c>
      <c r="BF63" s="29">
        <f>[1]ResumoGeracaoAtual_BAC!H59</f>
        <v>43058159.084274687</v>
      </c>
      <c r="BG63" s="29">
        <v>0</v>
      </c>
      <c r="BH63" s="29">
        <v>0</v>
      </c>
      <c r="BI63" s="29">
        <f>[1]ResumoGeracaoAtual_BAC!AX59</f>
        <v>2637202.3715139716</v>
      </c>
      <c r="BJ63" s="183">
        <f t="shared" si="8"/>
        <v>134497320.94721001</v>
      </c>
      <c r="BK63" s="183">
        <f t="shared" si="9"/>
        <v>208025862.52787</v>
      </c>
      <c r="BL63" s="183">
        <f>$BO$9+SUMPRODUCT($D$10:D63,$BK$10:BK63)</f>
        <v>1011170310.4900502</v>
      </c>
      <c r="BM63" s="30">
        <f t="shared" si="10"/>
        <v>4.3</v>
      </c>
      <c r="BN63" s="183">
        <f t="shared" si="13"/>
        <v>396341356.10443002</v>
      </c>
      <c r="BO63" s="184">
        <f t="shared" si="11"/>
        <v>9821608058.2701092</v>
      </c>
      <c r="BP63" s="41">
        <f t="shared" si="14"/>
        <v>14004409.313865142</v>
      </c>
      <c r="BQ63" s="41">
        <f t="shared" si="15"/>
        <v>749235898.29178512</v>
      </c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x14ac:dyDescent="0.25">
      <c r="A64" s="185">
        <f t="shared" si="20"/>
        <v>55</v>
      </c>
      <c r="B64" s="186">
        <f t="shared" si="20"/>
        <v>2074</v>
      </c>
      <c r="C64" s="29">
        <v>4.3</v>
      </c>
      <c r="D64" s="183">
        <f t="shared" si="16"/>
        <v>9.8710000000000006E-2</v>
      </c>
      <c r="E64" s="29">
        <f>[1]ResumoGeracaoAtual_BAC!B60</f>
        <v>0</v>
      </c>
      <c r="F64" s="183">
        <f t="shared" si="18"/>
        <v>15170.0236</v>
      </c>
      <c r="G64" s="29">
        <f>[1]ResumoGeracaoAtual_BC!F60</f>
        <v>15170.023601972602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183">
        <f t="shared" si="1"/>
        <v>0</v>
      </c>
      <c r="N64" s="29">
        <f>[1]ResumoGeracaoAtual_BAC!C60</f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183">
        <f t="shared" si="2"/>
        <v>0</v>
      </c>
      <c r="V64" s="29">
        <f>[1]ResumoGeracaoAtual_BAC!E60</f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183">
        <f t="shared" si="3"/>
        <v>855894.14436999999</v>
      </c>
      <c r="AD64" s="29">
        <f>[1]ResumoGeracaoAtual_BAC!AS60</f>
        <v>855894.14436663839</v>
      </c>
      <c r="AE64" s="29">
        <v>0</v>
      </c>
      <c r="AF64" s="29">
        <v>0</v>
      </c>
      <c r="AG64" s="29">
        <v>0</v>
      </c>
      <c r="AH64" s="183">
        <f t="shared" si="4"/>
        <v>319090.02340000001</v>
      </c>
      <c r="AI64" s="29">
        <f>[1]ResumoGeracaoAtual_BAC!AT60</f>
        <v>319090.02339528769</v>
      </c>
      <c r="AJ64" s="29">
        <v>0</v>
      </c>
      <c r="AK64" s="29">
        <v>0</v>
      </c>
      <c r="AL64" s="29">
        <v>0</v>
      </c>
      <c r="AM64" s="29">
        <v>0</v>
      </c>
      <c r="AN64" s="29">
        <f>[1]ResumoGeracaoAtual_BAC!Q60</f>
        <v>18592411.94386718</v>
      </c>
      <c r="AO64" s="29">
        <v>0</v>
      </c>
      <c r="AP64" s="29">
        <v>0</v>
      </c>
      <c r="AQ64" s="29">
        <f>SUM([1]ProjecoesAtuariais_Resumo!E60:J60)</f>
        <v>320000000</v>
      </c>
      <c r="AR64" s="183">
        <f t="shared" si="5"/>
        <v>339782566.13524002</v>
      </c>
      <c r="AS64" s="183">
        <f t="shared" si="6"/>
        <v>375645.84414</v>
      </c>
      <c r="AT64" s="29">
        <f>[1]ResumoGeracaoAtual_BC!B60</f>
        <v>48833.328439524885</v>
      </c>
      <c r="AU64" s="29">
        <v>0</v>
      </c>
      <c r="AV64" s="29">
        <v>0</v>
      </c>
      <c r="AW64" s="29">
        <v>0</v>
      </c>
      <c r="AX64" s="29">
        <f>[1]ResumoGeracaoAtual_BC!C60</f>
        <v>326812.51570071065</v>
      </c>
      <c r="AY64" s="29">
        <v>0</v>
      </c>
      <c r="AZ64" s="183">
        <f t="shared" si="7"/>
        <v>122280451.00989</v>
      </c>
      <c r="BA64" s="29">
        <f>[1]ResumoGeracaoAtual_BAC!G60</f>
        <v>79808860.181656808</v>
      </c>
      <c r="BB64" s="29">
        <v>0</v>
      </c>
      <c r="BC64" s="29">
        <v>0</v>
      </c>
      <c r="BD64" s="29">
        <v>0</v>
      </c>
      <c r="BE64" s="29">
        <v>0</v>
      </c>
      <c r="BF64" s="29">
        <f>[1]ResumoGeracaoAtual_BAC!H60</f>
        <v>40066569.321286254</v>
      </c>
      <c r="BG64" s="29">
        <v>0</v>
      </c>
      <c r="BH64" s="29">
        <v>0</v>
      </c>
      <c r="BI64" s="29">
        <f>[1]ResumoGeracaoAtual_BAC!AX60</f>
        <v>2405021.5069416659</v>
      </c>
      <c r="BJ64" s="183">
        <f t="shared" si="8"/>
        <v>122656096.85403</v>
      </c>
      <c r="BK64" s="183">
        <f t="shared" si="9"/>
        <v>217126469.28121001</v>
      </c>
      <c r="BL64" s="183">
        <f>$BO$9+SUMPRODUCT($D$10:D64,$BK$10:BK64)</f>
        <v>1032602864.2727985</v>
      </c>
      <c r="BM64" s="30">
        <f t="shared" si="10"/>
        <v>4.3</v>
      </c>
      <c r="BN64" s="183">
        <f t="shared" si="13"/>
        <v>422329146.50562</v>
      </c>
      <c r="BO64" s="184">
        <f t="shared" si="11"/>
        <v>10461063674.0569</v>
      </c>
      <c r="BP64" s="41">
        <f t="shared" si="14"/>
        <v>12245026.115725501</v>
      </c>
      <c r="BQ64" s="41">
        <f t="shared" si="15"/>
        <v>667353923.30703974</v>
      </c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x14ac:dyDescent="0.25">
      <c r="A65" s="185">
        <f t="shared" si="20"/>
        <v>56</v>
      </c>
      <c r="B65" s="186">
        <f t="shared" si="20"/>
        <v>2075</v>
      </c>
      <c r="C65" s="29">
        <v>4.3</v>
      </c>
      <c r="D65" s="183">
        <f t="shared" si="16"/>
        <v>9.4640000000000002E-2</v>
      </c>
      <c r="E65" s="29">
        <f>[1]ResumoGeracaoAtual_BAC!B61</f>
        <v>0</v>
      </c>
      <c r="F65" s="183">
        <f t="shared" si="18"/>
        <v>13056.02375</v>
      </c>
      <c r="G65" s="29">
        <f>[1]ResumoGeracaoAtual_BC!F61</f>
        <v>13056.023750064809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183">
        <f t="shared" si="1"/>
        <v>0</v>
      </c>
      <c r="N65" s="29">
        <f>[1]ResumoGeracaoAtual_BAC!C61</f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183">
        <f t="shared" si="2"/>
        <v>0</v>
      </c>
      <c r="V65" s="29">
        <f>[1]ResumoGeracaoAtual_BAC!E61</f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183">
        <f t="shared" si="3"/>
        <v>766521.61106999998</v>
      </c>
      <c r="AD65" s="29">
        <f>[1]ResumoGeracaoAtual_BAC!AS61</f>
        <v>766521.61106622755</v>
      </c>
      <c r="AE65" s="29">
        <v>0</v>
      </c>
      <c r="AF65" s="29">
        <v>0</v>
      </c>
      <c r="AG65" s="29">
        <v>0</v>
      </c>
      <c r="AH65" s="183">
        <f t="shared" si="4"/>
        <v>297220.68833999999</v>
      </c>
      <c r="AI65" s="29">
        <f>[1]ResumoGeracaoAtual_BAC!AT61</f>
        <v>297220.68833827978</v>
      </c>
      <c r="AJ65" s="29">
        <v>0</v>
      </c>
      <c r="AK65" s="29">
        <v>0</v>
      </c>
      <c r="AL65" s="29">
        <v>0</v>
      </c>
      <c r="AM65" s="29">
        <v>0</v>
      </c>
      <c r="AN65" s="29">
        <f>[1]ResumoGeracaoAtual_BAC!Q61</f>
        <v>16139104.128895119</v>
      </c>
      <c r="AO65" s="29">
        <v>0</v>
      </c>
      <c r="AP65" s="29">
        <v>0</v>
      </c>
      <c r="AQ65" s="29">
        <f>SUM([1]ProjecoesAtuariais_Resumo!E61:J61)</f>
        <v>380000000</v>
      </c>
      <c r="AR65" s="183">
        <f t="shared" si="5"/>
        <v>397215902.45205998</v>
      </c>
      <c r="AS65" s="183">
        <f t="shared" si="6"/>
        <v>320163.56731000001</v>
      </c>
      <c r="AT65" s="29">
        <f>[1]ResumoGeracaoAtual_BC!B61</f>
        <v>39102.2395495171</v>
      </c>
      <c r="AU65" s="29">
        <v>0</v>
      </c>
      <c r="AV65" s="29">
        <v>0</v>
      </c>
      <c r="AW65" s="29">
        <v>0</v>
      </c>
      <c r="AX65" s="29">
        <f>[1]ResumoGeracaoAtual_BC!C61</f>
        <v>281061.32775875699</v>
      </c>
      <c r="AY65" s="29">
        <v>0</v>
      </c>
      <c r="AZ65" s="183">
        <f t="shared" si="7"/>
        <v>110748308.93433</v>
      </c>
      <c r="BA65" s="29">
        <f>[1]ResumoGeracaoAtual_BAC!G61</f>
        <v>71599716.90794301</v>
      </c>
      <c r="BB65" s="29">
        <v>0</v>
      </c>
      <c r="BC65" s="29">
        <v>0</v>
      </c>
      <c r="BD65" s="29">
        <v>0</v>
      </c>
      <c r="BE65" s="29">
        <v>0</v>
      </c>
      <c r="BF65" s="29">
        <f>[1]ResumoGeracaoAtual_BAC!H61</f>
        <v>36970778.840078853</v>
      </c>
      <c r="BG65" s="29">
        <v>0</v>
      </c>
      <c r="BH65" s="29">
        <v>0</v>
      </c>
      <c r="BI65" s="29">
        <f>[1]ResumoGeracaoAtual_BAC!AX61</f>
        <v>2177813.1863066028</v>
      </c>
      <c r="BJ65" s="183">
        <f t="shared" si="8"/>
        <v>111068472.50164001</v>
      </c>
      <c r="BK65" s="183">
        <f t="shared" si="9"/>
        <v>286147429.95042002</v>
      </c>
      <c r="BL65" s="183">
        <f>$BO$9+SUMPRODUCT($D$10:D65,$BK$10:BK65)</f>
        <v>1059683857.0433062</v>
      </c>
      <c r="BM65" s="30">
        <f t="shared" si="10"/>
        <v>4.3</v>
      </c>
      <c r="BN65" s="183">
        <f t="shared" si="13"/>
        <v>449825737.98444998</v>
      </c>
      <c r="BO65" s="184">
        <f t="shared" si="11"/>
        <v>11197036841.9918</v>
      </c>
      <c r="BP65" s="41">
        <f t="shared" si="14"/>
        <v>10631160.989647243</v>
      </c>
      <c r="BQ65" s="41">
        <f t="shared" si="15"/>
        <v>590029434.92542195</v>
      </c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x14ac:dyDescent="0.25">
      <c r="A66" s="185">
        <f t="shared" si="20"/>
        <v>57</v>
      </c>
      <c r="B66" s="186">
        <f t="shared" si="20"/>
        <v>2076</v>
      </c>
      <c r="C66" s="29">
        <v>4.3</v>
      </c>
      <c r="D66" s="183">
        <f t="shared" si="16"/>
        <v>9.0740000000000001E-2</v>
      </c>
      <c r="E66" s="29">
        <f>[1]ResumoGeracaoAtual_BAC!B62</f>
        <v>0</v>
      </c>
      <c r="F66" s="183">
        <f t="shared" si="18"/>
        <v>11096.05961</v>
      </c>
      <c r="G66" s="29">
        <f>[1]ResumoGeracaoAtual_BC!F62</f>
        <v>11096.059607612815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183">
        <f t="shared" si="1"/>
        <v>0</v>
      </c>
      <c r="N66" s="29">
        <f>[1]ResumoGeracaoAtual_BAC!C62</f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183">
        <f t="shared" si="2"/>
        <v>0</v>
      </c>
      <c r="V66" s="29">
        <f>[1]ResumoGeracaoAtual_BAC!E62</f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183">
        <f t="shared" si="3"/>
        <v>681334.72363000002</v>
      </c>
      <c r="AD66" s="29">
        <f>[1]ResumoGeracaoAtual_BAC!AS62</f>
        <v>681334.72363052447</v>
      </c>
      <c r="AE66" s="29">
        <v>0</v>
      </c>
      <c r="AF66" s="29">
        <v>0</v>
      </c>
      <c r="AG66" s="29">
        <v>0</v>
      </c>
      <c r="AH66" s="183">
        <f t="shared" si="4"/>
        <v>274377.91256999999</v>
      </c>
      <c r="AI66" s="29">
        <f>[1]ResumoGeracaoAtual_BAC!AT62</f>
        <v>274377.91256548715</v>
      </c>
      <c r="AJ66" s="29">
        <v>0</v>
      </c>
      <c r="AK66" s="29">
        <v>0</v>
      </c>
      <c r="AL66" s="29">
        <v>0</v>
      </c>
      <c r="AM66" s="29">
        <v>0</v>
      </c>
      <c r="AN66" s="29">
        <f>[1]ResumoGeracaoAtual_BAC!Q62</f>
        <v>13865980.128174407</v>
      </c>
      <c r="AO66" s="29">
        <v>0</v>
      </c>
      <c r="AP66" s="29">
        <v>0</v>
      </c>
      <c r="AQ66" s="29">
        <f>SUM([1]ProjecoesAtuariais_Resumo!E62:J62)</f>
        <v>320000000</v>
      </c>
      <c r="AR66" s="183">
        <f t="shared" si="5"/>
        <v>334832788.82397997</v>
      </c>
      <c r="AS66" s="183">
        <f t="shared" si="6"/>
        <v>269233.80761000002</v>
      </c>
      <c r="AT66" s="29">
        <f>[1]ResumoGeracaoAtual_BC!B62</f>
        <v>30702.42170962624</v>
      </c>
      <c r="AU66" s="29">
        <v>0</v>
      </c>
      <c r="AV66" s="29">
        <v>0</v>
      </c>
      <c r="AW66" s="29">
        <v>0</v>
      </c>
      <c r="AX66" s="29">
        <f>[1]ResumoGeracaoAtual_BC!C62</f>
        <v>238531.38590291661</v>
      </c>
      <c r="AY66" s="29">
        <v>0</v>
      </c>
      <c r="AZ66" s="183">
        <f t="shared" si="7"/>
        <v>99540002.447960004</v>
      </c>
      <c r="BA66" s="29">
        <f>[1]ResumoGeracaoAtual_BAC!G62</f>
        <v>63771399.247105315</v>
      </c>
      <c r="BB66" s="29">
        <v>0</v>
      </c>
      <c r="BC66" s="29">
        <v>0</v>
      </c>
      <c r="BD66" s="29">
        <v>0</v>
      </c>
      <c r="BE66" s="29">
        <v>0</v>
      </c>
      <c r="BF66" s="29">
        <f>[1]ResumoGeracaoAtual_BAC!H62</f>
        <v>33811559.352704205</v>
      </c>
      <c r="BG66" s="29">
        <v>0</v>
      </c>
      <c r="BH66" s="29">
        <v>0</v>
      </c>
      <c r="BI66" s="29">
        <f>[1]ResumoGeracaoAtual_BAC!AX62</f>
        <v>1957043.8481484414</v>
      </c>
      <c r="BJ66" s="183">
        <f t="shared" si="8"/>
        <v>99809236.255569994</v>
      </c>
      <c r="BK66" s="183">
        <f t="shared" si="9"/>
        <v>235023552.56841001</v>
      </c>
      <c r="BL66" s="183">
        <f>$BO$9+SUMPRODUCT($D$10:D66,$BK$10:BK66)</f>
        <v>1081009894.2033637</v>
      </c>
      <c r="BM66" s="30">
        <f t="shared" si="10"/>
        <v>4.3</v>
      </c>
      <c r="BN66" s="183">
        <f t="shared" si="13"/>
        <v>481472584.20564997</v>
      </c>
      <c r="BO66" s="184">
        <f t="shared" si="11"/>
        <v>11913532978.7659</v>
      </c>
      <c r="BP66" s="41">
        <f t="shared" si="14"/>
        <v>9159673.1548573989</v>
      </c>
      <c r="BQ66" s="41">
        <f t="shared" si="15"/>
        <v>517521533.24944305</v>
      </c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x14ac:dyDescent="0.25">
      <c r="A67" s="185">
        <f t="shared" si="20"/>
        <v>58</v>
      </c>
      <c r="B67" s="186">
        <f t="shared" si="20"/>
        <v>2077</v>
      </c>
      <c r="C67" s="29">
        <v>4.3</v>
      </c>
      <c r="D67" s="183">
        <f t="shared" si="16"/>
        <v>8.6999999999999994E-2</v>
      </c>
      <c r="E67" s="29">
        <f>[1]ResumoGeracaoAtual_BAC!B63</f>
        <v>0</v>
      </c>
      <c r="F67" s="183">
        <f t="shared" si="18"/>
        <v>9303.5279200000004</v>
      </c>
      <c r="G67" s="29">
        <f>[1]ResumoGeracaoAtual_BC!F63</f>
        <v>9303.5279222552581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183">
        <f t="shared" si="1"/>
        <v>0</v>
      </c>
      <c r="N67" s="29">
        <f>[1]ResumoGeracaoAtual_BAC!C63</f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183">
        <f t="shared" si="2"/>
        <v>0</v>
      </c>
      <c r="V67" s="29">
        <f>[1]ResumoGeracaoAtual_BAC!E63</f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183">
        <f t="shared" si="3"/>
        <v>600658.79952</v>
      </c>
      <c r="AD67" s="29">
        <f>[1]ResumoGeracaoAtual_BAC!AS63</f>
        <v>600658.79952282028</v>
      </c>
      <c r="AE67" s="29">
        <v>0</v>
      </c>
      <c r="AF67" s="29">
        <v>0</v>
      </c>
      <c r="AG67" s="29">
        <v>0</v>
      </c>
      <c r="AH67" s="183">
        <f t="shared" si="4"/>
        <v>250909.32743999999</v>
      </c>
      <c r="AI67" s="29">
        <f>[1]ResumoGeracaoAtual_BAC!AT63</f>
        <v>250909.32744455399</v>
      </c>
      <c r="AJ67" s="29">
        <v>0</v>
      </c>
      <c r="AK67" s="29">
        <v>0</v>
      </c>
      <c r="AL67" s="29">
        <v>0</v>
      </c>
      <c r="AM67" s="29">
        <v>0</v>
      </c>
      <c r="AN67" s="29">
        <f>[1]ResumoGeracaoAtual_BAC!Q63</f>
        <v>11780193.615967926</v>
      </c>
      <c r="AO67" s="29">
        <v>0</v>
      </c>
      <c r="AP67" s="29">
        <v>0</v>
      </c>
      <c r="AQ67" s="29">
        <f>SUM([1]ProjecoesAtuariais_Resumo!E63:J63)</f>
        <v>320000000</v>
      </c>
      <c r="AR67" s="183">
        <f t="shared" si="5"/>
        <v>332641065.27085</v>
      </c>
      <c r="AS67" s="183">
        <f t="shared" si="6"/>
        <v>222381.56271</v>
      </c>
      <c r="AT67" s="29">
        <f>[1]ResumoGeracaoAtual_BC!B63</f>
        <v>23509.335189923087</v>
      </c>
      <c r="AU67" s="29">
        <v>0</v>
      </c>
      <c r="AV67" s="29">
        <v>0</v>
      </c>
      <c r="AW67" s="29">
        <v>0</v>
      </c>
      <c r="AX67" s="29">
        <f>[1]ResumoGeracaoAtual_BC!C63</f>
        <v>198872.22751898775</v>
      </c>
      <c r="AY67" s="29">
        <v>0</v>
      </c>
      <c r="AZ67" s="183">
        <f t="shared" si="7"/>
        <v>88729496.63752</v>
      </c>
      <c r="BA67" s="29">
        <f>[1]ResumoGeracaoAtual_BAC!G63</f>
        <v>56353866.513291359</v>
      </c>
      <c r="BB67" s="29">
        <v>0</v>
      </c>
      <c r="BC67" s="29">
        <v>0</v>
      </c>
      <c r="BD67" s="29">
        <v>0</v>
      </c>
      <c r="BE67" s="29">
        <v>0</v>
      </c>
      <c r="BF67" s="29">
        <f>[1]ResumoGeracaoAtual_BAC!H63</f>
        <v>30631475.649715669</v>
      </c>
      <c r="BG67" s="29">
        <v>0</v>
      </c>
      <c r="BH67" s="29">
        <v>0</v>
      </c>
      <c r="BI67" s="29">
        <f>[1]ResumoGeracaoAtual_BAC!AX63</f>
        <v>1744154.4745143186</v>
      </c>
      <c r="BJ67" s="183">
        <f t="shared" si="8"/>
        <v>88951878.200230002</v>
      </c>
      <c r="BK67" s="183">
        <f t="shared" si="9"/>
        <v>243689187.07062</v>
      </c>
      <c r="BL67" s="183">
        <f>$BO$9+SUMPRODUCT($D$10:D67,$BK$10:BK67)</f>
        <v>1102210853.4785078</v>
      </c>
      <c r="BM67" s="30">
        <f t="shared" si="10"/>
        <v>4.3</v>
      </c>
      <c r="BN67" s="183">
        <f t="shared" si="13"/>
        <v>512281918.08692998</v>
      </c>
      <c r="BO67" s="184">
        <f t="shared" si="11"/>
        <v>12669504083.923401</v>
      </c>
      <c r="BP67" s="41">
        <f t="shared" si="14"/>
        <v>7826792.8180722026</v>
      </c>
      <c r="BQ67" s="41">
        <f t="shared" si="15"/>
        <v>450040587.03915167</v>
      </c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5">
      <c r="A68" s="185">
        <f t="shared" si="20"/>
        <v>59</v>
      </c>
      <c r="B68" s="186">
        <f t="shared" si="20"/>
        <v>2078</v>
      </c>
      <c r="C68" s="29">
        <v>4.3</v>
      </c>
      <c r="D68" s="183">
        <f t="shared" si="16"/>
        <v>8.3409999999999998E-2</v>
      </c>
      <c r="E68" s="29">
        <f>[1]ResumoGeracaoAtual_BAC!B64</f>
        <v>0</v>
      </c>
      <c r="F68" s="183">
        <f t="shared" si="18"/>
        <v>7693.04162</v>
      </c>
      <c r="G68" s="29">
        <f>[1]ResumoGeracaoAtual_BC!F64</f>
        <v>7693.0416237267409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183">
        <f t="shared" si="1"/>
        <v>0</v>
      </c>
      <c r="N68" s="29">
        <f>[1]ResumoGeracaoAtual_BAC!C64</f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183">
        <f t="shared" si="2"/>
        <v>0</v>
      </c>
      <c r="V68" s="29">
        <f>[1]ResumoGeracaoAtual_BAC!E64</f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183">
        <f t="shared" si="3"/>
        <v>524791.36708</v>
      </c>
      <c r="AD68" s="29">
        <f>[1]ResumoGeracaoAtual_BAC!AS64</f>
        <v>524791.36708276998</v>
      </c>
      <c r="AE68" s="29">
        <v>0</v>
      </c>
      <c r="AF68" s="29">
        <v>0</v>
      </c>
      <c r="AG68" s="29">
        <v>0</v>
      </c>
      <c r="AH68" s="183">
        <f t="shared" si="4"/>
        <v>227178.10633000001</v>
      </c>
      <c r="AI68" s="29">
        <f>[1]ResumoGeracaoAtual_BAC!AT64</f>
        <v>227178.10633182674</v>
      </c>
      <c r="AJ68" s="29">
        <v>0</v>
      </c>
      <c r="AK68" s="29">
        <v>0</v>
      </c>
      <c r="AL68" s="29">
        <v>0</v>
      </c>
      <c r="AM68" s="29">
        <v>0</v>
      </c>
      <c r="AN68" s="29">
        <f>[1]ResumoGeracaoAtual_BAC!Q64</f>
        <v>9886693.0848060064</v>
      </c>
      <c r="AO68" s="29">
        <v>0</v>
      </c>
      <c r="AP68" s="29">
        <v>0</v>
      </c>
      <c r="AQ68" s="29">
        <f>SUM([1]ProjecoesAtuariais_Resumo!E64:J64)</f>
        <v>320000000</v>
      </c>
      <c r="AR68" s="183">
        <f t="shared" si="5"/>
        <v>330646355.59983999</v>
      </c>
      <c r="AS68" s="183">
        <f t="shared" si="6"/>
        <v>180740.08829000001</v>
      </c>
      <c r="AT68" s="29">
        <f>[1]ResumoGeracaoAtual_BC!B64</f>
        <v>17448.144264586732</v>
      </c>
      <c r="AU68" s="29">
        <v>0</v>
      </c>
      <c r="AV68" s="29">
        <v>0</v>
      </c>
      <c r="AW68" s="29">
        <v>0</v>
      </c>
      <c r="AX68" s="29">
        <f>[1]ResumoGeracaoAtual_BC!C64</f>
        <v>163291.94402910981</v>
      </c>
      <c r="AY68" s="29">
        <v>0</v>
      </c>
      <c r="AZ68" s="183">
        <f t="shared" si="7"/>
        <v>78388429.539480001</v>
      </c>
      <c r="BA68" s="29">
        <f>[1]ResumoGeracaoAtual_BAC!G64</f>
        <v>49374023.187032402</v>
      </c>
      <c r="BB68" s="29">
        <v>0</v>
      </c>
      <c r="BC68" s="29">
        <v>0</v>
      </c>
      <c r="BD68" s="29">
        <v>0</v>
      </c>
      <c r="BE68" s="29">
        <v>0</v>
      </c>
      <c r="BF68" s="29">
        <f>[1]ResumoGeracaoAtual_BAC!H64</f>
        <v>27473834.398965746</v>
      </c>
      <c r="BG68" s="29">
        <v>0</v>
      </c>
      <c r="BH68" s="29">
        <v>0</v>
      </c>
      <c r="BI68" s="29">
        <f>[1]ResumoGeracaoAtual_BAC!AX64</f>
        <v>1540571.953485837</v>
      </c>
      <c r="BJ68" s="183">
        <f t="shared" si="8"/>
        <v>78569169.627770007</v>
      </c>
      <c r="BK68" s="183">
        <f t="shared" si="9"/>
        <v>252077185.97207001</v>
      </c>
      <c r="BL68" s="183">
        <f>$BO$9+SUMPRODUCT($D$10:D68,$BK$10:BK68)</f>
        <v>1123236611.5604382</v>
      </c>
      <c r="BM68" s="30">
        <f t="shared" si="10"/>
        <v>4.3</v>
      </c>
      <c r="BN68" s="183">
        <f t="shared" si="13"/>
        <v>544788675.60871005</v>
      </c>
      <c r="BO68" s="184">
        <f t="shared" si="11"/>
        <v>13466369945.5042</v>
      </c>
      <c r="BP68" s="41">
        <f t="shared" si="14"/>
        <v>6628276.5687248865</v>
      </c>
      <c r="BQ68" s="41">
        <f t="shared" si="15"/>
        <v>387754179.27040589</v>
      </c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5">
      <c r="A69" s="185">
        <f t="shared" si="20"/>
        <v>60</v>
      </c>
      <c r="B69" s="186">
        <f t="shared" si="20"/>
        <v>2079</v>
      </c>
      <c r="C69" s="29">
        <v>4.3</v>
      </c>
      <c r="D69" s="183">
        <f t="shared" si="16"/>
        <v>7.9969999999999999E-2</v>
      </c>
      <c r="E69" s="29">
        <f>[1]ResumoGeracaoAtual_BAC!B65</f>
        <v>0</v>
      </c>
      <c r="F69" s="183">
        <f t="shared" si="18"/>
        <v>6278.7128000000002</v>
      </c>
      <c r="G69" s="29">
        <f>[1]ResumoGeracaoAtual_BC!F65</f>
        <v>6278.7127995539504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183">
        <f t="shared" si="1"/>
        <v>0</v>
      </c>
      <c r="N69" s="29">
        <f>[1]ResumoGeracaoAtual_BAC!C65</f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183">
        <f t="shared" si="2"/>
        <v>0</v>
      </c>
      <c r="V69" s="29">
        <f>[1]ResumoGeracaoAtual_BAC!E65</f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183">
        <f t="shared" si="3"/>
        <v>453998.25296000001</v>
      </c>
      <c r="AD69" s="29">
        <f>[1]ResumoGeracaoAtual_BAC!AS65</f>
        <v>453998.25295989309</v>
      </c>
      <c r="AE69" s="29">
        <v>0</v>
      </c>
      <c r="AF69" s="29">
        <v>0</v>
      </c>
      <c r="AG69" s="29">
        <v>0</v>
      </c>
      <c r="AH69" s="183">
        <f t="shared" si="4"/>
        <v>203542.88879999999</v>
      </c>
      <c r="AI69" s="29">
        <f>[1]ResumoGeracaoAtual_BAC!AT65</f>
        <v>203542.88879594748</v>
      </c>
      <c r="AJ69" s="29">
        <v>0</v>
      </c>
      <c r="AK69" s="29">
        <v>0</v>
      </c>
      <c r="AL69" s="29">
        <v>0</v>
      </c>
      <c r="AM69" s="29">
        <v>0</v>
      </c>
      <c r="AN69" s="29">
        <f>[1]ResumoGeracaoAtual_BAC!Q65</f>
        <v>8187651.1962069906</v>
      </c>
      <c r="AO69" s="29">
        <v>0</v>
      </c>
      <c r="AP69" s="29">
        <v>0</v>
      </c>
      <c r="AQ69" s="29">
        <f>SUM([1]ProjecoesAtuariais_Resumo!E65:J65)</f>
        <v>320000000</v>
      </c>
      <c r="AR69" s="183">
        <f t="shared" si="5"/>
        <v>328851471.05076998</v>
      </c>
      <c r="AS69" s="183">
        <f t="shared" si="6"/>
        <v>144500.83254999999</v>
      </c>
      <c r="AT69" s="29">
        <f>[1]ResumoGeracaoAtual_BC!B65</f>
        <v>12469.685187777834</v>
      </c>
      <c r="AU69" s="29">
        <v>0</v>
      </c>
      <c r="AV69" s="29">
        <v>0</v>
      </c>
      <c r="AW69" s="29">
        <v>0</v>
      </c>
      <c r="AX69" s="29">
        <f>[1]ResumoGeracaoAtual_BC!C65</f>
        <v>132031.14736013283</v>
      </c>
      <c r="AY69" s="29">
        <v>0</v>
      </c>
      <c r="AZ69" s="183">
        <f t="shared" si="7"/>
        <v>68583903.762759998</v>
      </c>
      <c r="BA69" s="29">
        <f>[1]ResumoGeracaoAtual_BAC!G65</f>
        <v>42855112.252530247</v>
      </c>
      <c r="BB69" s="29">
        <v>0</v>
      </c>
      <c r="BC69" s="29">
        <v>0</v>
      </c>
      <c r="BD69" s="29">
        <v>0</v>
      </c>
      <c r="BE69" s="29">
        <v>0</v>
      </c>
      <c r="BF69" s="29">
        <f>[1]ResumoGeracaoAtual_BAC!H65</f>
        <v>24381175.733848143</v>
      </c>
      <c r="BG69" s="29">
        <v>0</v>
      </c>
      <c r="BH69" s="29">
        <v>0</v>
      </c>
      <c r="BI69" s="29">
        <f>[1]ResumoGeracaoAtual_BAC!AX65</f>
        <v>1347615.7763785261</v>
      </c>
      <c r="BJ69" s="183">
        <f t="shared" si="8"/>
        <v>68728404.595310003</v>
      </c>
      <c r="BK69" s="183">
        <f t="shared" si="9"/>
        <v>260123066.45546001</v>
      </c>
      <c r="BL69" s="183">
        <f>$BO$9+SUMPRODUCT($D$10:D69,$BK$10:BK69)</f>
        <v>1144038653.1848812</v>
      </c>
      <c r="BM69" s="30">
        <f t="shared" si="10"/>
        <v>4.3</v>
      </c>
      <c r="BN69" s="183">
        <f t="shared" si="13"/>
        <v>579053907.65667999</v>
      </c>
      <c r="BO69" s="184">
        <f t="shared" si="11"/>
        <v>14305546919.616301</v>
      </c>
      <c r="BP69" s="41">
        <f t="shared" si="14"/>
        <v>5559104.6266110493</v>
      </c>
      <c r="BQ69" s="41">
        <f t="shared" si="15"/>
        <v>330766725.28335744</v>
      </c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5">
      <c r="A70" s="185">
        <f t="shared" si="20"/>
        <v>61</v>
      </c>
      <c r="B70" s="186">
        <f t="shared" si="20"/>
        <v>2080</v>
      </c>
      <c r="C70" s="29">
        <v>4.3</v>
      </c>
      <c r="D70" s="183">
        <f t="shared" si="16"/>
        <v>7.6670000000000002E-2</v>
      </c>
      <c r="E70" s="29">
        <f>[1]ResumoGeracaoAtual_BAC!B66</f>
        <v>0</v>
      </c>
      <c r="F70" s="183">
        <f t="shared" si="18"/>
        <v>5068.9415499999996</v>
      </c>
      <c r="G70" s="29">
        <f>[1]ResumoGeracaoAtual_BC!F66</f>
        <v>5068.9415487056076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183">
        <f t="shared" si="1"/>
        <v>0</v>
      </c>
      <c r="N70" s="29">
        <f>[1]ResumoGeracaoAtual_BAC!C66</f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183">
        <f t="shared" si="2"/>
        <v>0</v>
      </c>
      <c r="V70" s="29">
        <f>[1]ResumoGeracaoAtual_BAC!E66</f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183">
        <f t="shared" si="3"/>
        <v>388518.34840000002</v>
      </c>
      <c r="AD70" s="29">
        <f>[1]ResumoGeracaoAtual_BAC!AS66</f>
        <v>388518.34839883359</v>
      </c>
      <c r="AE70" s="29">
        <v>0</v>
      </c>
      <c r="AF70" s="29">
        <v>0</v>
      </c>
      <c r="AG70" s="29">
        <v>0</v>
      </c>
      <c r="AH70" s="183">
        <f t="shared" si="4"/>
        <v>180342.62414999999</v>
      </c>
      <c r="AI70" s="29">
        <f>[1]ResumoGeracaoAtual_BAC!AT66</f>
        <v>180342.62415101382</v>
      </c>
      <c r="AJ70" s="29">
        <v>0</v>
      </c>
      <c r="AK70" s="29">
        <v>0</v>
      </c>
      <c r="AL70" s="29">
        <v>0</v>
      </c>
      <c r="AM70" s="29">
        <v>0</v>
      </c>
      <c r="AN70" s="29">
        <f>[1]ResumoGeracaoAtual_BAC!Q66</f>
        <v>6682289.8003861681</v>
      </c>
      <c r="AO70" s="29">
        <v>0</v>
      </c>
      <c r="AP70" s="29">
        <v>0</v>
      </c>
      <c r="AQ70" s="29">
        <f>SUM([1]ProjecoesAtuariais_Resumo!E66:J66)</f>
        <v>380000000</v>
      </c>
      <c r="AR70" s="183">
        <f t="shared" si="5"/>
        <v>387256219.71449</v>
      </c>
      <c r="AS70" s="183">
        <f t="shared" si="6"/>
        <v>113741.0459</v>
      </c>
      <c r="AT70" s="29">
        <f>[1]ResumoGeracaoAtual_BC!B66</f>
        <v>8529.6716058618549</v>
      </c>
      <c r="AU70" s="29">
        <v>0</v>
      </c>
      <c r="AV70" s="29">
        <v>0</v>
      </c>
      <c r="AW70" s="29">
        <v>0</v>
      </c>
      <c r="AX70" s="29">
        <f>[1]ResumoGeracaoAtual_BC!C66</f>
        <v>105211.37429016206</v>
      </c>
      <c r="AY70" s="29">
        <v>0</v>
      </c>
      <c r="AZ70" s="183">
        <f t="shared" si="7"/>
        <v>59376912.600469999</v>
      </c>
      <c r="BA70" s="29">
        <f>[1]ResumoGeracaoAtual_BAC!G66</f>
        <v>36816793.466864929</v>
      </c>
      <c r="BB70" s="29">
        <v>0</v>
      </c>
      <c r="BC70" s="29">
        <v>0</v>
      </c>
      <c r="BD70" s="29">
        <v>0</v>
      </c>
      <c r="BE70" s="29">
        <v>0</v>
      </c>
      <c r="BF70" s="29">
        <f>[1]ResumoGeracaoAtual_BAC!H66</f>
        <v>21393635.728773449</v>
      </c>
      <c r="BG70" s="29">
        <v>0</v>
      </c>
      <c r="BH70" s="29">
        <v>0</v>
      </c>
      <c r="BI70" s="29">
        <f>[1]ResumoGeracaoAtual_BAC!AX66</f>
        <v>1166483.4048306879</v>
      </c>
      <c r="BJ70" s="183">
        <f t="shared" si="8"/>
        <v>59490653.646370001</v>
      </c>
      <c r="BK70" s="183">
        <f t="shared" si="9"/>
        <v>327765566.06812</v>
      </c>
      <c r="BL70" s="183">
        <f>$BO$9+SUMPRODUCT($D$10:D70,$BK$10:BK70)</f>
        <v>1169168439.135324</v>
      </c>
      <c r="BM70" s="30">
        <f t="shared" si="10"/>
        <v>4.3</v>
      </c>
      <c r="BN70" s="183">
        <f t="shared" si="13"/>
        <v>615138517.54349995</v>
      </c>
      <c r="BO70" s="184">
        <f t="shared" si="11"/>
        <v>15248451003.2279</v>
      </c>
      <c r="BP70" s="41">
        <f t="shared" si="14"/>
        <v>4613578.6494309502</v>
      </c>
      <c r="BQ70" s="41">
        <f t="shared" si="15"/>
        <v>279121508.29057246</v>
      </c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5">
      <c r="A71" s="185">
        <f t="shared" si="20"/>
        <v>62</v>
      </c>
      <c r="B71" s="186">
        <f t="shared" si="20"/>
        <v>2081</v>
      </c>
      <c r="C71" s="29">
        <v>4.3</v>
      </c>
      <c r="D71" s="183">
        <f t="shared" si="16"/>
        <v>7.3510000000000006E-2</v>
      </c>
      <c r="E71" s="29">
        <f>[1]ResumoGeracaoAtual_BAC!B67</f>
        <v>0</v>
      </c>
      <c r="F71" s="183">
        <f t="shared" si="18"/>
        <v>4055.9279900000001</v>
      </c>
      <c r="G71" s="29">
        <f>[1]ResumoGeracaoAtual_BC!F67</f>
        <v>4055.9279859235839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183">
        <f t="shared" si="1"/>
        <v>0</v>
      </c>
      <c r="N71" s="29">
        <f>[1]ResumoGeracaoAtual_BAC!C67</f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183">
        <f t="shared" si="2"/>
        <v>0</v>
      </c>
      <c r="V71" s="29">
        <f>[1]ResumoGeracaoAtual_BAC!E67</f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183">
        <f t="shared" si="3"/>
        <v>328555.08140000002</v>
      </c>
      <c r="AD71" s="29">
        <f>[1]ResumoGeracaoAtual_BAC!AS67</f>
        <v>328555.08139858249</v>
      </c>
      <c r="AE71" s="29">
        <v>0</v>
      </c>
      <c r="AF71" s="29">
        <v>0</v>
      </c>
      <c r="AG71" s="29">
        <v>0</v>
      </c>
      <c r="AH71" s="183">
        <f t="shared" si="4"/>
        <v>157888.02394000001</v>
      </c>
      <c r="AI71" s="29">
        <f>[1]ResumoGeracaoAtual_BAC!AT67</f>
        <v>157888.02393764292</v>
      </c>
      <c r="AJ71" s="29">
        <v>0</v>
      </c>
      <c r="AK71" s="29">
        <v>0</v>
      </c>
      <c r="AL71" s="29">
        <v>0</v>
      </c>
      <c r="AM71" s="29">
        <v>0</v>
      </c>
      <c r="AN71" s="29">
        <f>[1]ResumoGeracaoAtual_BAC!Q67</f>
        <v>5366985.5888301134</v>
      </c>
      <c r="AO71" s="29">
        <v>0</v>
      </c>
      <c r="AP71" s="29">
        <v>0</v>
      </c>
      <c r="AQ71" s="29">
        <f>SUM([1]ProjecoesAtuariais_Resumo!E67:J67)</f>
        <v>320000000</v>
      </c>
      <c r="AR71" s="183">
        <f t="shared" si="5"/>
        <v>325857484.62216002</v>
      </c>
      <c r="AS71" s="183">
        <f t="shared" si="6"/>
        <v>88259.642160000003</v>
      </c>
      <c r="AT71" s="29">
        <f>[1]ResumoGeracaoAtual_BC!B67</f>
        <v>5546.8180039613981</v>
      </c>
      <c r="AU71" s="29">
        <v>0</v>
      </c>
      <c r="AV71" s="29">
        <v>0</v>
      </c>
      <c r="AW71" s="29">
        <v>0</v>
      </c>
      <c r="AX71" s="29">
        <f>[1]ResumoGeracaoAtual_BC!C67</f>
        <v>82712.824155963026</v>
      </c>
      <c r="AY71" s="29">
        <v>0</v>
      </c>
      <c r="AZ71" s="183">
        <f t="shared" si="7"/>
        <v>50821022.422459997</v>
      </c>
      <c r="BA71" s="29">
        <f>[1]ResumoGeracaoAtual_BAC!G67</f>
        <v>31274991.626695208</v>
      </c>
      <c r="BB71" s="29">
        <v>0</v>
      </c>
      <c r="BC71" s="29">
        <v>0</v>
      </c>
      <c r="BD71" s="29">
        <v>0</v>
      </c>
      <c r="BE71" s="29">
        <v>0</v>
      </c>
      <c r="BF71" s="29">
        <f>[1]ResumoGeracaoAtual_BAC!H67</f>
        <v>18547809.578813024</v>
      </c>
      <c r="BG71" s="29">
        <v>0</v>
      </c>
      <c r="BH71" s="29">
        <v>0</v>
      </c>
      <c r="BI71" s="29">
        <f>[1]ResumoGeracaoAtual_BAC!AX67</f>
        <v>998221.21695336315</v>
      </c>
      <c r="BJ71" s="183">
        <f t="shared" si="8"/>
        <v>50909282.064620003</v>
      </c>
      <c r="BK71" s="183">
        <f t="shared" si="9"/>
        <v>274948202.55754</v>
      </c>
      <c r="BL71" s="183">
        <f>$BO$9+SUMPRODUCT($D$10:D71,$BK$10:BK71)</f>
        <v>1189379881.5053287</v>
      </c>
      <c r="BM71" s="30">
        <f t="shared" si="10"/>
        <v>4.3</v>
      </c>
      <c r="BN71" s="183">
        <f t="shared" si="13"/>
        <v>655683393.13880002</v>
      </c>
      <c r="BO71" s="184">
        <f t="shared" si="11"/>
        <v>16179082598.9242</v>
      </c>
      <c r="BP71" s="41">
        <f t="shared" si="14"/>
        <v>3785361.7603593976</v>
      </c>
      <c r="BQ71" s="41">
        <f t="shared" si="15"/>
        <v>232799748.26210296</v>
      </c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x14ac:dyDescent="0.25">
      <c r="A72" s="185">
        <f t="shared" si="20"/>
        <v>63</v>
      </c>
      <c r="B72" s="186">
        <f t="shared" si="20"/>
        <v>2082</v>
      </c>
      <c r="C72" s="29">
        <v>4.3</v>
      </c>
      <c r="D72" s="183">
        <f t="shared" si="16"/>
        <v>7.0480000000000001E-2</v>
      </c>
      <c r="E72" s="29">
        <f>[1]ResumoGeracaoAtual_BAC!B68</f>
        <v>0</v>
      </c>
      <c r="F72" s="183">
        <f t="shared" si="18"/>
        <v>3212.9996099999998</v>
      </c>
      <c r="G72" s="29">
        <f>[1]ResumoGeracaoAtual_BC!F68</f>
        <v>3212.9996136604709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183">
        <f t="shared" si="1"/>
        <v>0</v>
      </c>
      <c r="N72" s="29">
        <f>[1]ResumoGeracaoAtual_BAC!C68</f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183">
        <f t="shared" si="2"/>
        <v>0</v>
      </c>
      <c r="V72" s="29">
        <f>[1]ResumoGeracaoAtual_BAC!E68</f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183">
        <f t="shared" si="3"/>
        <v>274241.54441999999</v>
      </c>
      <c r="AD72" s="29">
        <f>[1]ResumoGeracaoAtual_BAC!AS68</f>
        <v>274241.54442174843</v>
      </c>
      <c r="AE72" s="29">
        <v>0</v>
      </c>
      <c r="AF72" s="29">
        <v>0</v>
      </c>
      <c r="AG72" s="29">
        <v>0</v>
      </c>
      <c r="AH72" s="183">
        <f t="shared" si="4"/>
        <v>136463.16407999999</v>
      </c>
      <c r="AI72" s="29">
        <f>[1]ResumoGeracaoAtual_BAC!AT68</f>
        <v>136463.16407830382</v>
      </c>
      <c r="AJ72" s="29">
        <v>0</v>
      </c>
      <c r="AK72" s="29">
        <v>0</v>
      </c>
      <c r="AL72" s="29">
        <v>0</v>
      </c>
      <c r="AM72" s="29">
        <v>0</v>
      </c>
      <c r="AN72" s="29">
        <f>[1]ResumoGeracaoAtual_BAC!Q68</f>
        <v>4235505.2556177946</v>
      </c>
      <c r="AO72" s="29">
        <v>0</v>
      </c>
      <c r="AP72" s="29">
        <v>0</v>
      </c>
      <c r="AQ72" s="29">
        <f>SUM([1]ProjecoesAtuariais_Resumo!E68:J68)</f>
        <v>320000000</v>
      </c>
      <c r="AR72" s="183">
        <f t="shared" si="5"/>
        <v>324649422.96372998</v>
      </c>
      <c r="AS72" s="183">
        <f t="shared" si="6"/>
        <v>67595.547250000003</v>
      </c>
      <c r="AT72" s="29">
        <f>[1]ResumoGeracaoAtual_BC!B68</f>
        <v>3409.4091565608223</v>
      </c>
      <c r="AU72" s="29">
        <v>0</v>
      </c>
      <c r="AV72" s="29">
        <v>0</v>
      </c>
      <c r="AW72" s="29">
        <v>0</v>
      </c>
      <c r="AX72" s="29">
        <f>[1]ResumoGeracaoAtual_BC!C68</f>
        <v>64186.138093407651</v>
      </c>
      <c r="AY72" s="29">
        <v>0</v>
      </c>
      <c r="AZ72" s="183">
        <f t="shared" si="7"/>
        <v>42960791.304119997</v>
      </c>
      <c r="BA72" s="29">
        <f>[1]ResumoGeracaoAtual_BAC!G68</f>
        <v>26240935.666766495</v>
      </c>
      <c r="BB72" s="29">
        <v>0</v>
      </c>
      <c r="BC72" s="29">
        <v>0</v>
      </c>
      <c r="BD72" s="29">
        <v>0</v>
      </c>
      <c r="BE72" s="29">
        <v>0</v>
      </c>
      <c r="BF72" s="29">
        <f>[1]ResumoGeracaoAtual_BAC!H68</f>
        <v>15876161.777527215</v>
      </c>
      <c r="BG72" s="29">
        <v>0</v>
      </c>
      <c r="BH72" s="29">
        <v>0</v>
      </c>
      <c r="BI72" s="29">
        <f>[1]ResumoGeracaoAtual_BAC!AX68</f>
        <v>843693.85983087344</v>
      </c>
      <c r="BJ72" s="183">
        <f t="shared" si="8"/>
        <v>43028386.851369999</v>
      </c>
      <c r="BK72" s="183">
        <f t="shared" si="9"/>
        <v>281621036.11236</v>
      </c>
      <c r="BL72" s="183">
        <f>$BO$9+SUMPRODUCT($D$10:D72,$BK$10:BK72)</f>
        <v>1209228532.130528</v>
      </c>
      <c r="BM72" s="30">
        <f t="shared" si="10"/>
        <v>4.3</v>
      </c>
      <c r="BN72" s="183">
        <f t="shared" si="13"/>
        <v>695700551.75373995</v>
      </c>
      <c r="BO72" s="184">
        <f t="shared" si="11"/>
        <v>17156404186.7903</v>
      </c>
      <c r="BP72" s="41">
        <f t="shared" si="14"/>
        <v>3067522.8470996064</v>
      </c>
      <c r="BQ72" s="41">
        <f t="shared" si="15"/>
        <v>191720177.94372541</v>
      </c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5">
      <c r="A73" s="185">
        <f t="shared" si="20"/>
        <v>64</v>
      </c>
      <c r="B73" s="186">
        <f t="shared" si="20"/>
        <v>2083</v>
      </c>
      <c r="C73" s="29">
        <v>4.3</v>
      </c>
      <c r="D73" s="183">
        <f t="shared" si="16"/>
        <v>6.7570000000000005E-2</v>
      </c>
      <c r="E73" s="29">
        <f>[1]ResumoGeracaoAtual_BAC!B69</f>
        <v>0</v>
      </c>
      <c r="F73" s="183">
        <f t="shared" si="18"/>
        <v>2507.8068600000001</v>
      </c>
      <c r="G73" s="29">
        <f>[1]ResumoGeracaoAtual_BC!F69</f>
        <v>2507.8068626632635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183">
        <f t="shared" si="1"/>
        <v>0</v>
      </c>
      <c r="N73" s="29">
        <f>[1]ResumoGeracaoAtual_BAC!C69</f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183">
        <f t="shared" si="2"/>
        <v>0</v>
      </c>
      <c r="V73" s="29">
        <f>[1]ResumoGeracaoAtual_BAC!E69</f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183">
        <f t="shared" si="3"/>
        <v>225616.67089000001</v>
      </c>
      <c r="AD73" s="29">
        <f>[1]ResumoGeracaoAtual_BAC!AS69</f>
        <v>225616.67089281458</v>
      </c>
      <c r="AE73" s="29">
        <v>0</v>
      </c>
      <c r="AF73" s="29">
        <v>0</v>
      </c>
      <c r="AG73" s="29">
        <v>0</v>
      </c>
      <c r="AH73" s="183">
        <f t="shared" si="4"/>
        <v>116328.98996000001</v>
      </c>
      <c r="AI73" s="29">
        <f>[1]ResumoGeracaoAtual_BAC!AT69</f>
        <v>116328.98996396923</v>
      </c>
      <c r="AJ73" s="29">
        <v>0</v>
      </c>
      <c r="AK73" s="29">
        <v>0</v>
      </c>
      <c r="AL73" s="29">
        <v>0</v>
      </c>
      <c r="AM73" s="29">
        <v>0</v>
      </c>
      <c r="AN73" s="29">
        <f>[1]ResumoGeracaoAtual_BAC!Q69</f>
        <v>3279027.8315065214</v>
      </c>
      <c r="AO73" s="29">
        <v>0</v>
      </c>
      <c r="AP73" s="29">
        <v>0</v>
      </c>
      <c r="AQ73" s="29">
        <f>SUM([1]ProjecoesAtuariais_Resumo!E69:J69)</f>
        <v>320000000</v>
      </c>
      <c r="AR73" s="183">
        <f t="shared" si="5"/>
        <v>323623481.29922003</v>
      </c>
      <c r="AS73" s="183">
        <f t="shared" si="6"/>
        <v>51171.686699999998</v>
      </c>
      <c r="AT73" s="29">
        <f>[1]ResumoGeracaoAtual_BC!B69</f>
        <v>1980.6462436474364</v>
      </c>
      <c r="AU73" s="29">
        <v>0</v>
      </c>
      <c r="AV73" s="29">
        <v>0</v>
      </c>
      <c r="AW73" s="29">
        <v>0</v>
      </c>
      <c r="AX73" s="29">
        <f>[1]ResumoGeracaoAtual_BC!C69</f>
        <v>49191.040455627328</v>
      </c>
      <c r="AY73" s="29">
        <v>0</v>
      </c>
      <c r="AZ73" s="183">
        <f t="shared" si="7"/>
        <v>35829648.276299998</v>
      </c>
      <c r="BA73" s="29">
        <f>[1]ResumoGeracaoAtual_BAC!G69</f>
        <v>21719910.331055541</v>
      </c>
      <c r="BB73" s="29">
        <v>0</v>
      </c>
      <c r="BC73" s="29">
        <v>0</v>
      </c>
      <c r="BD73" s="29">
        <v>0</v>
      </c>
      <c r="BE73" s="29">
        <v>0</v>
      </c>
      <c r="BF73" s="29">
        <f>[1]ResumoGeracaoAtual_BAC!H69</f>
        <v>13406192.455772141</v>
      </c>
      <c r="BG73" s="29">
        <v>0</v>
      </c>
      <c r="BH73" s="29">
        <v>0</v>
      </c>
      <c r="BI73" s="29">
        <f>[1]ResumoGeracaoAtual_BAC!AX69</f>
        <v>703545.48947053915</v>
      </c>
      <c r="BJ73" s="183">
        <f t="shared" si="8"/>
        <v>35880819.963</v>
      </c>
      <c r="BK73" s="183">
        <f t="shared" si="9"/>
        <v>287742661.33622003</v>
      </c>
      <c r="BL73" s="183">
        <f>$BO$9+SUMPRODUCT($D$10:D73,$BK$10:BK73)</f>
        <v>1228671303.7570162</v>
      </c>
      <c r="BM73" s="30">
        <f t="shared" si="10"/>
        <v>4.3</v>
      </c>
      <c r="BN73" s="183">
        <f t="shared" si="13"/>
        <v>737725380.03198004</v>
      </c>
      <c r="BO73" s="184">
        <f t="shared" si="11"/>
        <v>18181872228.158501</v>
      </c>
      <c r="BP73" s="41">
        <f t="shared" si="14"/>
        <v>2452558.8381686336</v>
      </c>
      <c r="BQ73" s="41">
        <f t="shared" si="15"/>
        <v>155737486.22370824</v>
      </c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5">
      <c r="A74" s="185">
        <f t="shared" si="20"/>
        <v>65</v>
      </c>
      <c r="B74" s="186">
        <f t="shared" si="20"/>
        <v>2084</v>
      </c>
      <c r="C74" s="29">
        <v>4.3</v>
      </c>
      <c r="D74" s="183">
        <f t="shared" si="16"/>
        <v>6.4780000000000004E-2</v>
      </c>
      <c r="E74" s="29">
        <f>[1]ResumoGeracaoAtual_BAC!B70</f>
        <v>0</v>
      </c>
      <c r="F74" s="183">
        <f t="shared" si="18"/>
        <v>1910.86313</v>
      </c>
      <c r="G74" s="29">
        <f>[1]ResumoGeracaoAtual_BC!F70</f>
        <v>1910.8631340969334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183">
        <f t="shared" ref="M74:M137" si="21">ROUND(SUM(N74:T74),5)</f>
        <v>0</v>
      </c>
      <c r="N74" s="29">
        <f>[1]ResumoGeracaoAtual_BAC!C70</f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183">
        <f t="shared" ref="U74:U137" si="22">ROUND(SUM(V74:AB74),5)</f>
        <v>0</v>
      </c>
      <c r="V74" s="29">
        <f>[1]ResumoGeracaoAtual_BAC!E70</f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183">
        <f t="shared" ref="AC74:AC137" si="23">ROUND(SUM(AD74:AG74),5)</f>
        <v>182627.14942999999</v>
      </c>
      <c r="AD74" s="29">
        <f>[1]ResumoGeracaoAtual_BAC!AS70</f>
        <v>182627.14942508272</v>
      </c>
      <c r="AE74" s="29">
        <v>0</v>
      </c>
      <c r="AF74" s="29">
        <v>0</v>
      </c>
      <c r="AG74" s="29">
        <v>0</v>
      </c>
      <c r="AH74" s="183">
        <f t="shared" ref="AH74:AH137" si="24">ROUND(SUM(AI74:AM74),5)</f>
        <v>97712.669209999993</v>
      </c>
      <c r="AI74" s="29">
        <f>[1]ResumoGeracaoAtual_BAC!AT70</f>
        <v>97712.669209480504</v>
      </c>
      <c r="AJ74" s="29">
        <v>0</v>
      </c>
      <c r="AK74" s="29">
        <v>0</v>
      </c>
      <c r="AL74" s="29">
        <v>0</v>
      </c>
      <c r="AM74" s="29">
        <v>0</v>
      </c>
      <c r="AN74" s="29">
        <f>[1]ResumoGeracaoAtual_BAC!Q70</f>
        <v>2486001.9938425445</v>
      </c>
      <c r="AO74" s="29">
        <v>0</v>
      </c>
      <c r="AP74" s="29">
        <v>0</v>
      </c>
      <c r="AQ74" s="29">
        <f>SUM([1]ProjecoesAtuariais_Resumo!E70:J70)</f>
        <v>320000000</v>
      </c>
      <c r="AR74" s="183">
        <f t="shared" ref="AR74:AR137" si="25">ROUND(F74+K74+L74+M74+U74+AC74+AH74+AN74+AO74+AP74+AQ74,5)</f>
        <v>322768252.67561001</v>
      </c>
      <c r="AS74" s="183">
        <f t="shared" ref="AS74:AS137" si="26">ROUND(SUM(AT74:AY74),5)</f>
        <v>38258.871890000002</v>
      </c>
      <c r="AT74" s="29">
        <f>[1]ResumoGeracaoAtual_BC!B70</f>
        <v>1087.5356140057638</v>
      </c>
      <c r="AU74" s="29">
        <v>0</v>
      </c>
      <c r="AV74" s="29">
        <v>0</v>
      </c>
      <c r="AW74" s="29">
        <v>0</v>
      </c>
      <c r="AX74" s="29">
        <f>[1]ResumoGeracaoAtual_BC!C70</f>
        <v>37171.336272623157</v>
      </c>
      <c r="AY74" s="29">
        <v>0</v>
      </c>
      <c r="AZ74" s="183">
        <f t="shared" ref="AZ74:AZ137" si="27">ROUND(SUM(BA74:BI74),5)</f>
        <v>29447507.62164</v>
      </c>
      <c r="BA74" s="29">
        <f>[1]ResumoGeracaoAtual_BAC!G70</f>
        <v>17710333.044539519</v>
      </c>
      <c r="BB74" s="29">
        <v>0</v>
      </c>
      <c r="BC74" s="29">
        <v>0</v>
      </c>
      <c r="BD74" s="29">
        <v>0</v>
      </c>
      <c r="BE74" s="29">
        <v>0</v>
      </c>
      <c r="BF74" s="29">
        <f>[1]ResumoGeracaoAtual_BAC!H70</f>
        <v>11159022.292915737</v>
      </c>
      <c r="BG74" s="29">
        <v>0</v>
      </c>
      <c r="BH74" s="29">
        <v>0</v>
      </c>
      <c r="BI74" s="29">
        <f>[1]ResumoGeracaoAtual_BAC!AX70</f>
        <v>578152.28418683773</v>
      </c>
      <c r="BJ74" s="183">
        <f t="shared" ref="BJ74:BJ137" si="28">ROUND(AS74+AZ74,5)</f>
        <v>29485766.493530001</v>
      </c>
      <c r="BK74" s="183">
        <f t="shared" ref="BK74:BK137" si="29">ROUND(AR74-BJ74,5)</f>
        <v>293282486.18207997</v>
      </c>
      <c r="BL74" s="183">
        <f>$BO$9+SUMPRODUCT($D$10:D74,$BK$10:BK74)</f>
        <v>1247670143.2118914</v>
      </c>
      <c r="BM74" s="30">
        <f t="shared" ref="BM74:BM137" si="30">ROUND(C74,5)</f>
        <v>4.3</v>
      </c>
      <c r="BN74" s="183">
        <f t="shared" si="13"/>
        <v>781820505.81081998</v>
      </c>
      <c r="BO74" s="184">
        <f t="shared" ref="BO74:BO137" si="31">IF(BO73+BK74+BN74&gt;0,ROUND(BO73+BK74+BN74,5),0)</f>
        <v>19256975220.151402</v>
      </c>
      <c r="BP74" s="41">
        <f t="shared" si="14"/>
        <v>1932400.9655015445</v>
      </c>
      <c r="BQ74" s="41">
        <f t="shared" si="15"/>
        <v>124639862.27484962</v>
      </c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5">
      <c r="A75" s="185">
        <f t="shared" ref="A75:B90" si="32">A74+1</f>
        <v>66</v>
      </c>
      <c r="B75" s="186">
        <f t="shared" si="32"/>
        <v>2085</v>
      </c>
      <c r="C75" s="29">
        <v>4.3</v>
      </c>
      <c r="D75" s="183">
        <f t="shared" si="16"/>
        <v>6.2109999999999999E-2</v>
      </c>
      <c r="E75" s="29">
        <f>[1]ResumoGeracaoAtual_BAC!B71</f>
        <v>0</v>
      </c>
      <c r="F75" s="183">
        <f t="shared" si="18"/>
        <v>1402.4695400000001</v>
      </c>
      <c r="G75" s="29">
        <f>[1]ResumoGeracaoAtual_BC!F71</f>
        <v>1402.4695423197597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183">
        <f t="shared" si="21"/>
        <v>0</v>
      </c>
      <c r="N75" s="29">
        <f>[1]ResumoGeracaoAtual_BAC!C71</f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183">
        <f t="shared" si="22"/>
        <v>0</v>
      </c>
      <c r="V75" s="29">
        <f>[1]ResumoGeracaoAtual_BAC!E71</f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183">
        <f t="shared" si="23"/>
        <v>145145.33029000001</v>
      </c>
      <c r="AD75" s="29">
        <f>[1]ResumoGeracaoAtual_BAC!AS71</f>
        <v>145145.33028660045</v>
      </c>
      <c r="AE75" s="29">
        <v>0</v>
      </c>
      <c r="AF75" s="29">
        <v>0</v>
      </c>
      <c r="AG75" s="29">
        <v>0</v>
      </c>
      <c r="AH75" s="183">
        <f t="shared" si="24"/>
        <v>80788.657579999999</v>
      </c>
      <c r="AI75" s="29">
        <f>[1]ResumoGeracaoAtual_BAC!AT71</f>
        <v>80788.657578560073</v>
      </c>
      <c r="AJ75" s="29">
        <v>0</v>
      </c>
      <c r="AK75" s="29">
        <v>0</v>
      </c>
      <c r="AL75" s="29">
        <v>0</v>
      </c>
      <c r="AM75" s="29">
        <v>0</v>
      </c>
      <c r="AN75" s="29">
        <f>[1]ResumoGeracaoAtual_BAC!Q71</f>
        <v>1842309.191785716</v>
      </c>
      <c r="AO75" s="29">
        <v>0</v>
      </c>
      <c r="AP75" s="29">
        <v>0</v>
      </c>
      <c r="AQ75" s="29">
        <f>SUM([1]ProjecoesAtuariais_Resumo!E71:J71)</f>
        <v>380000000</v>
      </c>
      <c r="AR75" s="183">
        <f t="shared" si="25"/>
        <v>382069645.64920002</v>
      </c>
      <c r="AS75" s="183">
        <f t="shared" si="26"/>
        <v>28060.060710000002</v>
      </c>
      <c r="AT75" s="29">
        <f>[1]ResumoGeracaoAtual_BC!B71</f>
        <v>554.806342177538</v>
      </c>
      <c r="AU75" s="29">
        <v>0</v>
      </c>
      <c r="AV75" s="29">
        <v>0</v>
      </c>
      <c r="AW75" s="29">
        <v>0</v>
      </c>
      <c r="AX75" s="29">
        <f>[1]ResumoGeracaoAtual_BC!C71</f>
        <v>27505.25437017094</v>
      </c>
      <c r="AY75" s="29">
        <v>0</v>
      </c>
      <c r="AZ75" s="183">
        <f t="shared" si="27"/>
        <v>23819130.324519999</v>
      </c>
      <c r="BA75" s="29">
        <f>[1]ResumoGeracaoAtual_BAC!G71</f>
        <v>14203597.953126838</v>
      </c>
      <c r="BB75" s="29">
        <v>0</v>
      </c>
      <c r="BC75" s="29">
        <v>0</v>
      </c>
      <c r="BD75" s="29">
        <v>0</v>
      </c>
      <c r="BE75" s="29">
        <v>0</v>
      </c>
      <c r="BF75" s="29">
        <f>[1]ResumoGeracaoAtual_BAC!H71</f>
        <v>9147940.4030590579</v>
      </c>
      <c r="BG75" s="29">
        <v>0</v>
      </c>
      <c r="BH75" s="29">
        <v>0</v>
      </c>
      <c r="BI75" s="29">
        <f>[1]ResumoGeracaoAtual_BAC!AX71</f>
        <v>467591.96833796497</v>
      </c>
      <c r="BJ75" s="183">
        <f t="shared" si="28"/>
        <v>23847190.385230001</v>
      </c>
      <c r="BK75" s="183">
        <f t="shared" si="29"/>
        <v>358222455.26397002</v>
      </c>
      <c r="BL75" s="183">
        <f>$BO$9+SUMPRODUCT($D$10:D75,$BK$10:BK75)</f>
        <v>1269919339.9083366</v>
      </c>
      <c r="BM75" s="30">
        <f t="shared" si="30"/>
        <v>4.3</v>
      </c>
      <c r="BN75" s="183">
        <f t="shared" ref="BN75:BN138" si="33">IF($A$10=0,IF(BO74+BK75&lt;0,0,ROUND(BM75/100*(BO74+BK75),5)),ROUND(BM75/100*BO74,5))</f>
        <v>828049934.46651006</v>
      </c>
      <c r="BO75" s="184">
        <f t="shared" si="31"/>
        <v>20443247609.881901</v>
      </c>
      <c r="BP75" s="41">
        <f t="shared" ref="BP75:BP138" si="34">(1/((1+$C75/100)^($A75-0.5)))*(AS75+AZ75-AY75-BH75-F75-AC75-AH75)</f>
        <v>1498493.9902727711</v>
      </c>
      <c r="BQ75" s="41">
        <f t="shared" ref="BQ75:BQ138" si="35">$BP75*($A75-0.5)</f>
        <v>98151356.362866506</v>
      </c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5">
      <c r="A76" s="185">
        <f t="shared" si="32"/>
        <v>67</v>
      </c>
      <c r="B76" s="186">
        <f t="shared" si="32"/>
        <v>2086</v>
      </c>
      <c r="C76" s="29">
        <v>4.3</v>
      </c>
      <c r="D76" s="183">
        <f t="shared" ref="D76:D139" si="36">ROUND((1+C76/100)^-1*D75,5)</f>
        <v>5.9549999999999999E-2</v>
      </c>
      <c r="E76" s="29">
        <f>[1]ResumoGeracaoAtual_BAC!B72</f>
        <v>0</v>
      </c>
      <c r="F76" s="183">
        <f t="shared" si="18"/>
        <v>974.76323000000002</v>
      </c>
      <c r="G76" s="29">
        <f>[1]ResumoGeracaoAtual_BC!F72</f>
        <v>974.76322873191589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183">
        <f t="shared" si="21"/>
        <v>0</v>
      </c>
      <c r="N76" s="29">
        <f>[1]ResumoGeracaoAtual_BAC!C72</f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183">
        <f t="shared" si="22"/>
        <v>0</v>
      </c>
      <c r="V76" s="29">
        <f>[1]ResumoGeracaoAtual_BAC!E72</f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183">
        <f t="shared" si="23"/>
        <v>112980.01558000001</v>
      </c>
      <c r="AD76" s="29">
        <f>[1]ResumoGeracaoAtual_BAC!AS72</f>
        <v>112980.01558122197</v>
      </c>
      <c r="AE76" s="29">
        <v>0</v>
      </c>
      <c r="AF76" s="29">
        <v>0</v>
      </c>
      <c r="AG76" s="29">
        <v>0</v>
      </c>
      <c r="AH76" s="183">
        <f t="shared" si="24"/>
        <v>65670.727379999997</v>
      </c>
      <c r="AI76" s="29">
        <f>[1]ResumoGeracaoAtual_BAC!AT72</f>
        <v>65670.727381366873</v>
      </c>
      <c r="AJ76" s="29">
        <v>0</v>
      </c>
      <c r="AK76" s="29">
        <v>0</v>
      </c>
      <c r="AL76" s="29">
        <v>0</v>
      </c>
      <c r="AM76" s="29">
        <v>0</v>
      </c>
      <c r="AN76" s="29">
        <f>[1]ResumoGeracaoAtual_BAC!Q72</f>
        <v>1331816.9031006387</v>
      </c>
      <c r="AO76" s="29">
        <v>0</v>
      </c>
      <c r="AP76" s="29">
        <v>0</v>
      </c>
      <c r="AQ76" s="29">
        <f>SUM([1]ProjecoesAtuariais_Resumo!E72:J72)</f>
        <v>320000000</v>
      </c>
      <c r="AR76" s="183">
        <f t="shared" si="25"/>
        <v>321511442.40929002</v>
      </c>
      <c r="AS76" s="183">
        <f t="shared" si="26"/>
        <v>19949.380229999999</v>
      </c>
      <c r="AT76" s="29">
        <f>[1]ResumoGeracaoAtual_BC!B72</f>
        <v>251.23150081044162</v>
      </c>
      <c r="AU76" s="29">
        <v>0</v>
      </c>
      <c r="AV76" s="29">
        <v>0</v>
      </c>
      <c r="AW76" s="29">
        <v>0</v>
      </c>
      <c r="AX76" s="29">
        <f>[1]ResumoGeracaoAtual_BC!C72</f>
        <v>19698.148727177591</v>
      </c>
      <c r="AY76" s="29">
        <v>0</v>
      </c>
      <c r="AZ76" s="183">
        <f t="shared" si="27"/>
        <v>18934098.345989998</v>
      </c>
      <c r="BA76" s="29">
        <f>[1]ResumoGeracaoAtual_BAC!G72</f>
        <v>11184150.748576131</v>
      </c>
      <c r="BB76" s="29">
        <v>0</v>
      </c>
      <c r="BC76" s="29">
        <v>0</v>
      </c>
      <c r="BD76" s="29">
        <v>0</v>
      </c>
      <c r="BE76" s="29">
        <v>0</v>
      </c>
      <c r="BF76" s="29">
        <f>[1]ResumoGeracaoAtual_BAC!H72</f>
        <v>7378299.602785904</v>
      </c>
      <c r="BG76" s="29">
        <v>0</v>
      </c>
      <c r="BH76" s="29">
        <v>0</v>
      </c>
      <c r="BI76" s="29">
        <f>[1]ResumoGeracaoAtual_BAC!AX72</f>
        <v>371647.99463180045</v>
      </c>
      <c r="BJ76" s="183">
        <f t="shared" si="28"/>
        <v>18954047.726220001</v>
      </c>
      <c r="BK76" s="183">
        <f t="shared" si="29"/>
        <v>302557394.68307</v>
      </c>
      <c r="BL76" s="183">
        <f>$BO$9+SUMPRODUCT($D$10:D76,$BK$10:BK76)</f>
        <v>1287936632.7617135</v>
      </c>
      <c r="BM76" s="30">
        <f t="shared" si="30"/>
        <v>4.3</v>
      </c>
      <c r="BN76" s="183">
        <f t="shared" si="33"/>
        <v>879059647.22492003</v>
      </c>
      <c r="BO76" s="184">
        <f t="shared" si="31"/>
        <v>21624864651.789902</v>
      </c>
      <c r="BP76" s="41">
        <f t="shared" si="34"/>
        <v>1141984.1340800829</v>
      </c>
      <c r="BQ76" s="41">
        <f t="shared" si="35"/>
        <v>75941944.91632551</v>
      </c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5">
      <c r="A77" s="185">
        <f t="shared" si="32"/>
        <v>68</v>
      </c>
      <c r="B77" s="186">
        <f t="shared" si="32"/>
        <v>2087</v>
      </c>
      <c r="C77" s="29">
        <v>4.3</v>
      </c>
      <c r="D77" s="183">
        <f t="shared" si="36"/>
        <v>5.7090000000000002E-2</v>
      </c>
      <c r="E77" s="29">
        <f>[1]ResumoGeracaoAtual_BAC!B73</f>
        <v>0</v>
      </c>
      <c r="F77" s="183">
        <f t="shared" si="18"/>
        <v>627.31714999999997</v>
      </c>
      <c r="G77" s="29">
        <f>[1]ResumoGeracaoAtual_BC!F73</f>
        <v>627.31714547555009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183">
        <f t="shared" si="21"/>
        <v>0</v>
      </c>
      <c r="N77" s="29">
        <f>[1]ResumoGeracaoAtual_BAC!C73</f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183">
        <f t="shared" si="22"/>
        <v>0</v>
      </c>
      <c r="V77" s="29">
        <f>[1]ResumoGeracaoAtual_BAC!E73</f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183">
        <f t="shared" si="23"/>
        <v>85878.526500000007</v>
      </c>
      <c r="AD77" s="29">
        <f>[1]ResumoGeracaoAtual_BAC!AS73</f>
        <v>85878.52650466506</v>
      </c>
      <c r="AE77" s="29">
        <v>0</v>
      </c>
      <c r="AF77" s="29">
        <v>0</v>
      </c>
      <c r="AG77" s="29">
        <v>0</v>
      </c>
      <c r="AH77" s="183">
        <f t="shared" si="24"/>
        <v>52414.267509999998</v>
      </c>
      <c r="AI77" s="29">
        <f>[1]ResumoGeracaoAtual_BAC!AT73</f>
        <v>52414.267507243203</v>
      </c>
      <c r="AJ77" s="29">
        <v>0</v>
      </c>
      <c r="AK77" s="29">
        <v>0</v>
      </c>
      <c r="AL77" s="29">
        <v>0</v>
      </c>
      <c r="AM77" s="29">
        <v>0</v>
      </c>
      <c r="AN77" s="29">
        <f>[1]ResumoGeracaoAtual_BAC!Q73</f>
        <v>937156.5877423744</v>
      </c>
      <c r="AO77" s="29">
        <v>0</v>
      </c>
      <c r="AP77" s="29">
        <v>0</v>
      </c>
      <c r="AQ77" s="29">
        <f>SUM([1]ProjecoesAtuariais_Resumo!E73:J73)</f>
        <v>320000000</v>
      </c>
      <c r="AR77" s="183">
        <f t="shared" si="25"/>
        <v>321076076.69889998</v>
      </c>
      <c r="AS77" s="183">
        <f t="shared" si="26"/>
        <v>13548.575199999999</v>
      </c>
      <c r="AT77" s="29">
        <f>[1]ResumoGeracaoAtual_BC!B73</f>
        <v>95.130084857127301</v>
      </c>
      <c r="AU77" s="29">
        <v>0</v>
      </c>
      <c r="AV77" s="29">
        <v>0</v>
      </c>
      <c r="AW77" s="29">
        <v>0</v>
      </c>
      <c r="AX77" s="29">
        <f>[1]ResumoGeracaoAtual_BC!C73</f>
        <v>13453.445116432893</v>
      </c>
      <c r="AY77" s="29">
        <v>0</v>
      </c>
      <c r="AZ77" s="183">
        <f t="shared" si="27"/>
        <v>14767628.681050001</v>
      </c>
      <c r="BA77" s="29">
        <f>[1]ResumoGeracaoAtual_BAC!G73</f>
        <v>8629551.533574326</v>
      </c>
      <c r="BB77" s="29">
        <v>0</v>
      </c>
      <c r="BC77" s="29">
        <v>0</v>
      </c>
      <c r="BD77" s="29">
        <v>0</v>
      </c>
      <c r="BE77" s="29">
        <v>0</v>
      </c>
      <c r="BF77" s="29">
        <f>[1]ResumoGeracaoAtual_BAC!H73</f>
        <v>5848250.1424495643</v>
      </c>
      <c r="BG77" s="29">
        <v>0</v>
      </c>
      <c r="BH77" s="29">
        <v>0</v>
      </c>
      <c r="BI77" s="29">
        <f>[1]ResumoGeracaoAtual_BAC!AX73</f>
        <v>289827.00502450357</v>
      </c>
      <c r="BJ77" s="183">
        <f t="shared" si="28"/>
        <v>14781177.25625</v>
      </c>
      <c r="BK77" s="183">
        <f t="shared" si="29"/>
        <v>306294899.44265002</v>
      </c>
      <c r="BL77" s="183">
        <f>$BO$9+SUMPRODUCT($D$10:D77,$BK$10:BK77)</f>
        <v>1305423008.5708942</v>
      </c>
      <c r="BM77" s="30">
        <f t="shared" si="30"/>
        <v>4.3</v>
      </c>
      <c r="BN77" s="183">
        <f t="shared" si="33"/>
        <v>929869180.02697003</v>
      </c>
      <c r="BO77" s="184">
        <f t="shared" si="31"/>
        <v>22861028731.259499</v>
      </c>
      <c r="BP77" s="41">
        <f t="shared" si="34"/>
        <v>853920.04983902699</v>
      </c>
      <c r="BQ77" s="41">
        <f t="shared" si="35"/>
        <v>57639603.364134319</v>
      </c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5">
      <c r="A78" s="185">
        <f t="shared" si="32"/>
        <v>69</v>
      </c>
      <c r="B78" s="186">
        <f t="shared" si="32"/>
        <v>2088</v>
      </c>
      <c r="C78" s="29">
        <v>4.3</v>
      </c>
      <c r="D78" s="183">
        <f t="shared" si="36"/>
        <v>5.4739999999999997E-2</v>
      </c>
      <c r="E78" s="29">
        <f>[1]ResumoGeracaoAtual_BAC!B74</f>
        <v>0</v>
      </c>
      <c r="F78" s="183">
        <f t="shared" si="18"/>
        <v>363.23280999999997</v>
      </c>
      <c r="G78" s="29">
        <f>[1]ResumoGeracaoAtual_BC!F74</f>
        <v>363.23281080581131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183">
        <f t="shared" si="21"/>
        <v>0</v>
      </c>
      <c r="N78" s="29">
        <f>[1]ResumoGeracaoAtual_BAC!C74</f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183">
        <f t="shared" si="22"/>
        <v>0</v>
      </c>
      <c r="V78" s="29">
        <f>[1]ResumoGeracaoAtual_BAC!E74</f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183">
        <f t="shared" si="23"/>
        <v>63521.639179999998</v>
      </c>
      <c r="AD78" s="29">
        <f>[1]ResumoGeracaoAtual_BAC!AS74</f>
        <v>63521.639183310952</v>
      </c>
      <c r="AE78" s="29">
        <v>0</v>
      </c>
      <c r="AF78" s="29">
        <v>0</v>
      </c>
      <c r="AG78" s="29">
        <v>0</v>
      </c>
      <c r="AH78" s="183">
        <f t="shared" si="24"/>
        <v>41017.113340000004</v>
      </c>
      <c r="AI78" s="29">
        <f>[1]ResumoGeracaoAtual_BAC!AT74</f>
        <v>41017.113338005453</v>
      </c>
      <c r="AJ78" s="29">
        <v>0</v>
      </c>
      <c r="AK78" s="29">
        <v>0</v>
      </c>
      <c r="AL78" s="29">
        <v>0</v>
      </c>
      <c r="AM78" s="29">
        <v>0</v>
      </c>
      <c r="AN78" s="29">
        <f>[1]ResumoGeracaoAtual_BAC!Q74</f>
        <v>640395.86784780002</v>
      </c>
      <c r="AO78" s="29">
        <v>0</v>
      </c>
      <c r="AP78" s="29">
        <v>0</v>
      </c>
      <c r="AQ78" s="29">
        <f>SUM([1]ProjecoesAtuariais_Resumo!E74:J74)</f>
        <v>320000000</v>
      </c>
      <c r="AR78" s="183">
        <f t="shared" si="25"/>
        <v>320745297.85317999</v>
      </c>
      <c r="AS78" s="183">
        <f t="shared" si="26"/>
        <v>8662.7474299999994</v>
      </c>
      <c r="AT78" s="29">
        <f>[1]ResumoGeracaoAtual_BC!B74</f>
        <v>27.903426133616748</v>
      </c>
      <c r="AU78" s="29">
        <v>0</v>
      </c>
      <c r="AV78" s="29">
        <v>0</v>
      </c>
      <c r="AW78" s="29">
        <v>0</v>
      </c>
      <c r="AX78" s="29">
        <f>[1]ResumoGeracaoAtual_BC!C74</f>
        <v>8634.8440047471431</v>
      </c>
      <c r="AY78" s="29">
        <v>0</v>
      </c>
      <c r="AZ78" s="183">
        <f t="shared" si="27"/>
        <v>11281206.24436</v>
      </c>
      <c r="BA78" s="29">
        <f>[1]ResumoGeracaoAtual_BAC!G74</f>
        <v>6510037.1623839829</v>
      </c>
      <c r="BB78" s="29">
        <v>0</v>
      </c>
      <c r="BC78" s="29">
        <v>0</v>
      </c>
      <c r="BD78" s="29">
        <v>0</v>
      </c>
      <c r="BE78" s="29">
        <v>0</v>
      </c>
      <c r="BF78" s="29">
        <f>[1]ResumoGeracaoAtual_BAC!H74</f>
        <v>4549799.1017401582</v>
      </c>
      <c r="BG78" s="29">
        <v>0</v>
      </c>
      <c r="BH78" s="29">
        <v>0</v>
      </c>
      <c r="BI78" s="29">
        <f>[1]ResumoGeracaoAtual_BAC!AX74</f>
        <v>221369.98023110043</v>
      </c>
      <c r="BJ78" s="183">
        <f t="shared" si="28"/>
        <v>11289868.99179</v>
      </c>
      <c r="BK78" s="183">
        <f t="shared" si="29"/>
        <v>309455428.86138999</v>
      </c>
      <c r="BL78" s="183">
        <f>$BO$9+SUMPRODUCT($D$10:D78,$BK$10:BK78)</f>
        <v>1322362598.7467668</v>
      </c>
      <c r="BM78" s="30">
        <f t="shared" si="30"/>
        <v>4.3</v>
      </c>
      <c r="BN78" s="183">
        <f t="shared" si="33"/>
        <v>983024235.44415998</v>
      </c>
      <c r="BO78" s="184">
        <f t="shared" si="31"/>
        <v>24153508395.564999</v>
      </c>
      <c r="BP78" s="41">
        <f t="shared" si="34"/>
        <v>625402.45270928915</v>
      </c>
      <c r="BQ78" s="41">
        <f t="shared" si="35"/>
        <v>42840068.010586306</v>
      </c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5">
      <c r="A79" s="185">
        <f t="shared" si="32"/>
        <v>70</v>
      </c>
      <c r="B79" s="186">
        <f t="shared" si="32"/>
        <v>2089</v>
      </c>
      <c r="C79" s="29">
        <v>4.3</v>
      </c>
      <c r="D79" s="183">
        <f t="shared" si="36"/>
        <v>5.2479999999999999E-2</v>
      </c>
      <c r="E79" s="29">
        <f>[1]ResumoGeracaoAtual_BAC!B75</f>
        <v>0</v>
      </c>
      <c r="F79" s="183">
        <f t="shared" si="18"/>
        <v>182.94871000000001</v>
      </c>
      <c r="G79" s="29">
        <f>[1]ResumoGeracaoAtual_BC!F75</f>
        <v>182.9487099277145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183">
        <f t="shared" si="21"/>
        <v>0</v>
      </c>
      <c r="N79" s="29">
        <f>[1]ResumoGeracaoAtual_BAC!C75</f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183">
        <f t="shared" si="22"/>
        <v>0</v>
      </c>
      <c r="V79" s="29">
        <f>[1]ResumoGeracaoAtual_BAC!E75</f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183">
        <f t="shared" si="23"/>
        <v>45519.717409999997</v>
      </c>
      <c r="AD79" s="29">
        <f>[1]ResumoGeracaoAtual_BAC!AS75</f>
        <v>45519.717408332726</v>
      </c>
      <c r="AE79" s="29">
        <v>0</v>
      </c>
      <c r="AF79" s="29">
        <v>0</v>
      </c>
      <c r="AG79" s="29">
        <v>0</v>
      </c>
      <c r="AH79" s="183">
        <f t="shared" si="24"/>
        <v>31419.495320000002</v>
      </c>
      <c r="AI79" s="29">
        <f>[1]ResumoGeracaoAtual_BAC!AT75</f>
        <v>31419.495320410093</v>
      </c>
      <c r="AJ79" s="29">
        <v>0</v>
      </c>
      <c r="AK79" s="29">
        <v>0</v>
      </c>
      <c r="AL79" s="29">
        <v>0</v>
      </c>
      <c r="AM79" s="29">
        <v>0</v>
      </c>
      <c r="AN79" s="29">
        <f>[1]ResumoGeracaoAtual_BAC!Q75</f>
        <v>423752.60837733455</v>
      </c>
      <c r="AO79" s="29">
        <v>0</v>
      </c>
      <c r="AP79" s="29">
        <v>0</v>
      </c>
      <c r="AQ79" s="29">
        <f>SUM([1]ProjecoesAtuariais_Resumo!E75:J75)</f>
        <v>320000000</v>
      </c>
      <c r="AR79" s="183">
        <f t="shared" si="25"/>
        <v>320500874.76981997</v>
      </c>
      <c r="AS79" s="183">
        <f t="shared" si="26"/>
        <v>5167.9599900000003</v>
      </c>
      <c r="AT79" s="29">
        <f>[1]ResumoGeracaoAtual_BC!B75</f>
        <v>5.6759236099716466</v>
      </c>
      <c r="AU79" s="29">
        <v>0</v>
      </c>
      <c r="AV79" s="29">
        <v>0</v>
      </c>
      <c r="AW79" s="29">
        <v>0</v>
      </c>
      <c r="AX79" s="29">
        <f>[1]ResumoGeracaoAtual_BC!C75</f>
        <v>5162.2840658256746</v>
      </c>
      <c r="AY79" s="29">
        <v>0</v>
      </c>
      <c r="AZ79" s="183">
        <f t="shared" si="27"/>
        <v>8423842.9743099995</v>
      </c>
      <c r="BA79" s="29">
        <f>[1]ResumoGeracaoAtual_BAC!G75</f>
        <v>4788998.2416093256</v>
      </c>
      <c r="BB79" s="29">
        <v>0</v>
      </c>
      <c r="BC79" s="29">
        <v>0</v>
      </c>
      <c r="BD79" s="29">
        <v>0</v>
      </c>
      <c r="BE79" s="29">
        <v>0</v>
      </c>
      <c r="BF79" s="29">
        <f>[1]ResumoGeracaoAtual_BAC!H75</f>
        <v>3469570.0084998365</v>
      </c>
      <c r="BG79" s="29">
        <v>0</v>
      </c>
      <c r="BH79" s="29">
        <v>0</v>
      </c>
      <c r="BI79" s="29">
        <f>[1]ResumoGeracaoAtual_BAC!AX75</f>
        <v>165274.72420197196</v>
      </c>
      <c r="BJ79" s="183">
        <f t="shared" si="28"/>
        <v>8429010.9342999998</v>
      </c>
      <c r="BK79" s="183">
        <f t="shared" si="29"/>
        <v>312071863.83552003</v>
      </c>
      <c r="BL79" s="183">
        <f>$BO$9+SUMPRODUCT($D$10:D79,$BK$10:BK79)</f>
        <v>1338740130.1608548</v>
      </c>
      <c r="BM79" s="30">
        <f t="shared" si="30"/>
        <v>4.3</v>
      </c>
      <c r="BN79" s="183">
        <f t="shared" si="33"/>
        <v>1038600861.00929</v>
      </c>
      <c r="BO79" s="184">
        <f t="shared" si="31"/>
        <v>25504181120.409801</v>
      </c>
      <c r="BP79" s="41">
        <f t="shared" si="34"/>
        <v>447739.35190267779</v>
      </c>
      <c r="BQ79" s="41">
        <f t="shared" si="35"/>
        <v>31117884.957236107</v>
      </c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5">
      <c r="A80" s="185">
        <f t="shared" si="32"/>
        <v>71</v>
      </c>
      <c r="B80" s="186">
        <f t="shared" si="32"/>
        <v>2090</v>
      </c>
      <c r="C80" s="29">
        <v>4.3</v>
      </c>
      <c r="D80" s="183">
        <f t="shared" si="36"/>
        <v>5.0319999999999997E-2</v>
      </c>
      <c r="E80" s="29">
        <f>[1]ResumoGeracaoAtual_BAC!B76</f>
        <v>0</v>
      </c>
      <c r="F80" s="183">
        <f t="shared" si="18"/>
        <v>77.212909999999994</v>
      </c>
      <c r="G80" s="29">
        <f>[1]ResumoGeracaoAtual_BC!F76</f>
        <v>77.212906000426216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183">
        <f t="shared" si="21"/>
        <v>0</v>
      </c>
      <c r="N80" s="29">
        <f>[1]ResumoGeracaoAtual_BAC!C76</f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183">
        <f t="shared" si="22"/>
        <v>0</v>
      </c>
      <c r="V80" s="29">
        <f>[1]ResumoGeracaoAtual_BAC!E76</f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183">
        <f t="shared" si="23"/>
        <v>31426.025829999999</v>
      </c>
      <c r="AD80" s="29">
        <f>[1]ResumoGeracaoAtual_BAC!AS76</f>
        <v>31426.025833927441</v>
      </c>
      <c r="AE80" s="29">
        <v>0</v>
      </c>
      <c r="AF80" s="29">
        <v>0</v>
      </c>
      <c r="AG80" s="29">
        <v>0</v>
      </c>
      <c r="AH80" s="183">
        <f t="shared" si="24"/>
        <v>23511.665720000001</v>
      </c>
      <c r="AI80" s="29">
        <f>[1]ResumoGeracaoAtual_BAC!AT76</f>
        <v>23511.665718598841</v>
      </c>
      <c r="AJ80" s="29">
        <v>0</v>
      </c>
      <c r="AK80" s="29">
        <v>0</v>
      </c>
      <c r="AL80" s="29">
        <v>0</v>
      </c>
      <c r="AM80" s="29">
        <v>0</v>
      </c>
      <c r="AN80" s="29">
        <f>[1]ResumoGeracaoAtual_BAC!Q76</f>
        <v>270557.58757438138</v>
      </c>
      <c r="AO80" s="29">
        <v>0</v>
      </c>
      <c r="AP80" s="29">
        <v>0</v>
      </c>
      <c r="AQ80" s="29">
        <f>SUM([1]ProjecoesAtuariais_Resumo!E76:J76)</f>
        <v>380000000</v>
      </c>
      <c r="AR80" s="183">
        <f t="shared" si="25"/>
        <v>380325572.49203002</v>
      </c>
      <c r="AS80" s="183">
        <f t="shared" si="26"/>
        <v>2878.4342900000001</v>
      </c>
      <c r="AT80" s="29">
        <f>[1]ResumoGeracaoAtual_BC!B76</f>
        <v>0.84560080014589512</v>
      </c>
      <c r="AU80" s="29">
        <v>0</v>
      </c>
      <c r="AV80" s="29">
        <v>0</v>
      </c>
      <c r="AW80" s="29">
        <v>0</v>
      </c>
      <c r="AX80" s="29">
        <f>[1]ResumoGeracaoAtual_BC!C76</f>
        <v>2877.5886847771649</v>
      </c>
      <c r="AY80" s="29">
        <v>0</v>
      </c>
      <c r="AZ80" s="183">
        <f t="shared" si="27"/>
        <v>6134828.7779999999</v>
      </c>
      <c r="BA80" s="29">
        <f>[1]ResumoGeracaoAtual_BAC!G76</f>
        <v>3424951.9534950787</v>
      </c>
      <c r="BB80" s="29">
        <v>0</v>
      </c>
      <c r="BC80" s="29">
        <v>0</v>
      </c>
      <c r="BD80" s="29">
        <v>0</v>
      </c>
      <c r="BE80" s="29">
        <v>0</v>
      </c>
      <c r="BF80" s="29">
        <f>[1]ResumoGeracaoAtual_BAC!H76</f>
        <v>2589529.6242640377</v>
      </c>
      <c r="BG80" s="29">
        <v>0</v>
      </c>
      <c r="BH80" s="29">
        <v>0</v>
      </c>
      <c r="BI80" s="29">
        <f>[1]ResumoGeracaoAtual_BAC!AX76</f>
        <v>120347.20024089389</v>
      </c>
      <c r="BJ80" s="183">
        <f t="shared" si="28"/>
        <v>6137707.2122900002</v>
      </c>
      <c r="BK80" s="183">
        <f t="shared" si="29"/>
        <v>374187865.27973998</v>
      </c>
      <c r="BL80" s="183">
        <f>$BO$9+SUMPRODUCT($D$10:D80,$BK$10:BK80)</f>
        <v>1357569263.5417314</v>
      </c>
      <c r="BM80" s="30">
        <f t="shared" si="30"/>
        <v>4.3</v>
      </c>
      <c r="BN80" s="183">
        <f t="shared" si="33"/>
        <v>1096679788.1776199</v>
      </c>
      <c r="BO80" s="184">
        <f t="shared" si="31"/>
        <v>26975048773.867199</v>
      </c>
      <c r="BP80" s="41">
        <f t="shared" si="34"/>
        <v>312645.44391226204</v>
      </c>
      <c r="BQ80" s="41">
        <f t="shared" si="35"/>
        <v>22041503.795814473</v>
      </c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5">
      <c r="A81" s="185">
        <f t="shared" si="32"/>
        <v>72</v>
      </c>
      <c r="B81" s="186">
        <f t="shared" si="32"/>
        <v>2091</v>
      </c>
      <c r="C81" s="29">
        <v>4.3</v>
      </c>
      <c r="D81" s="183">
        <f t="shared" si="36"/>
        <v>4.8250000000000001E-2</v>
      </c>
      <c r="E81" s="29">
        <f>[1]ResumoGeracaoAtual_BAC!B77</f>
        <v>0</v>
      </c>
      <c r="F81" s="183">
        <f t="shared" si="18"/>
        <v>26.20701</v>
      </c>
      <c r="G81" s="29">
        <f>[1]ResumoGeracaoAtual_BC!F77</f>
        <v>26.207014026828734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183">
        <f t="shared" si="21"/>
        <v>0</v>
      </c>
      <c r="N81" s="29">
        <f>[1]ResumoGeracaoAtual_BAC!C77</f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183">
        <f t="shared" si="22"/>
        <v>0</v>
      </c>
      <c r="V81" s="29">
        <f>[1]ResumoGeracaoAtual_BAC!E77</f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183">
        <f t="shared" si="23"/>
        <v>20758.659230000001</v>
      </c>
      <c r="AD81" s="29">
        <f>[1]ResumoGeracaoAtual_BAC!AS77</f>
        <v>20758.659230057732</v>
      </c>
      <c r="AE81" s="29">
        <v>0</v>
      </c>
      <c r="AF81" s="29">
        <v>0</v>
      </c>
      <c r="AG81" s="29">
        <v>0</v>
      </c>
      <c r="AH81" s="183">
        <f t="shared" si="24"/>
        <v>17141.49971</v>
      </c>
      <c r="AI81" s="29">
        <f>[1]ResumoGeracaoAtual_BAC!AT77</f>
        <v>17141.499705951817</v>
      </c>
      <c r="AJ81" s="29">
        <v>0</v>
      </c>
      <c r="AK81" s="29">
        <v>0</v>
      </c>
      <c r="AL81" s="29">
        <v>0</v>
      </c>
      <c r="AM81" s="29">
        <v>0</v>
      </c>
      <c r="AN81" s="29">
        <f>[1]ResumoGeracaoAtual_BAC!Q77</f>
        <v>166030.1775808197</v>
      </c>
      <c r="AO81" s="29">
        <v>0</v>
      </c>
      <c r="AP81" s="29">
        <v>0</v>
      </c>
      <c r="AQ81" s="29">
        <f>SUM([1]ProjecoesAtuariais_Resumo!E77:J77)</f>
        <v>320000000</v>
      </c>
      <c r="AR81" s="183">
        <f t="shared" si="25"/>
        <v>320203956.54352999</v>
      </c>
      <c r="AS81" s="183">
        <f t="shared" si="26"/>
        <v>1507.5062700000001</v>
      </c>
      <c r="AT81" s="29">
        <f>[1]ResumoGeracaoAtual_BC!B77</f>
        <v>0.11852922559902988</v>
      </c>
      <c r="AU81" s="29">
        <v>0</v>
      </c>
      <c r="AV81" s="29">
        <v>0</v>
      </c>
      <c r="AW81" s="29">
        <v>0</v>
      </c>
      <c r="AX81" s="29">
        <f>[1]ResumoGeracaoAtual_BC!C77</f>
        <v>1507.3877386673594</v>
      </c>
      <c r="AY81" s="29">
        <v>0</v>
      </c>
      <c r="AZ81" s="183">
        <f t="shared" si="27"/>
        <v>4347077.5115700001</v>
      </c>
      <c r="BA81" s="29">
        <f>[1]ResumoGeracaoAtual_BAC!G77</f>
        <v>2373808.7085522255</v>
      </c>
      <c r="BB81" s="29">
        <v>0</v>
      </c>
      <c r="BC81" s="29">
        <v>0</v>
      </c>
      <c r="BD81" s="29">
        <v>0</v>
      </c>
      <c r="BE81" s="29">
        <v>0</v>
      </c>
      <c r="BF81" s="29">
        <f>[1]ResumoGeracaoAtual_BAC!H77</f>
        <v>1888002.4301191652</v>
      </c>
      <c r="BG81" s="29">
        <v>0</v>
      </c>
      <c r="BH81" s="29">
        <v>0</v>
      </c>
      <c r="BI81" s="29">
        <f>[1]ResumoGeracaoAtual_BAC!AX77</f>
        <v>85266.372898785674</v>
      </c>
      <c r="BJ81" s="183">
        <f t="shared" si="28"/>
        <v>4348585.0178399999</v>
      </c>
      <c r="BK81" s="183">
        <f t="shared" si="29"/>
        <v>315855371.52569002</v>
      </c>
      <c r="BL81" s="183">
        <f>$BO$9+SUMPRODUCT($D$10:D81,$BK$10:BK81)</f>
        <v>1372809285.2178459</v>
      </c>
      <c r="BM81" s="30">
        <f t="shared" si="30"/>
        <v>4.3</v>
      </c>
      <c r="BN81" s="183">
        <f t="shared" si="33"/>
        <v>1159927097.2762899</v>
      </c>
      <c r="BO81" s="184">
        <f t="shared" si="31"/>
        <v>28450831242.669201</v>
      </c>
      <c r="BP81" s="41">
        <f t="shared" si="34"/>
        <v>212429.86897787024</v>
      </c>
      <c r="BQ81" s="41">
        <f t="shared" si="35"/>
        <v>15188735.631917723</v>
      </c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x14ac:dyDescent="0.25">
      <c r="A82" s="185">
        <f t="shared" si="32"/>
        <v>73</v>
      </c>
      <c r="B82" s="186">
        <f t="shared" si="32"/>
        <v>2092</v>
      </c>
      <c r="C82" s="29">
        <v>4.3</v>
      </c>
      <c r="D82" s="183">
        <f t="shared" si="36"/>
        <v>4.6260000000000003E-2</v>
      </c>
      <c r="E82" s="29">
        <f>[1]ResumoGeracaoAtual_BAC!B78</f>
        <v>0</v>
      </c>
      <c r="F82" s="183">
        <f t="shared" si="18"/>
        <v>6.8132999999999999</v>
      </c>
      <c r="G82" s="29">
        <f>[1]ResumoGeracaoAtual_BC!F78</f>
        <v>6.8133006628775261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183">
        <f t="shared" si="21"/>
        <v>0</v>
      </c>
      <c r="N82" s="29">
        <f>[1]ResumoGeracaoAtual_BAC!C78</f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183">
        <f t="shared" si="22"/>
        <v>0</v>
      </c>
      <c r="V82" s="29">
        <f>[1]ResumoGeracaoAtual_BAC!E78</f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183">
        <f t="shared" si="23"/>
        <v>13014.946319999999</v>
      </c>
      <c r="AD82" s="29">
        <f>[1]ResumoGeracaoAtual_BAC!AS78</f>
        <v>13014.946323123957</v>
      </c>
      <c r="AE82" s="29">
        <v>0</v>
      </c>
      <c r="AF82" s="29">
        <v>0</v>
      </c>
      <c r="AG82" s="29">
        <v>0</v>
      </c>
      <c r="AH82" s="183">
        <f t="shared" si="24"/>
        <v>12130.86197</v>
      </c>
      <c r="AI82" s="29">
        <f>[1]ResumoGeracaoAtual_BAC!AT78</f>
        <v>12130.861974052763</v>
      </c>
      <c r="AJ82" s="29">
        <v>0</v>
      </c>
      <c r="AK82" s="29">
        <v>0</v>
      </c>
      <c r="AL82" s="29">
        <v>0</v>
      </c>
      <c r="AM82" s="29">
        <v>0</v>
      </c>
      <c r="AN82" s="29">
        <f>[1]ResumoGeracaoAtual_BAC!Q78</f>
        <v>97546.497896524175</v>
      </c>
      <c r="AO82" s="29">
        <v>0</v>
      </c>
      <c r="AP82" s="29">
        <v>0</v>
      </c>
      <c r="AQ82" s="29">
        <f>SUM([1]ProjecoesAtuariais_Resumo!E78:J78)</f>
        <v>320000000</v>
      </c>
      <c r="AR82" s="183">
        <f t="shared" si="25"/>
        <v>320122699.11949003</v>
      </c>
      <c r="AS82" s="183">
        <f t="shared" si="26"/>
        <v>738.46614999999997</v>
      </c>
      <c r="AT82" s="29">
        <f>[1]ResumoGeracaoAtual_BC!B78</f>
        <v>1.6594097322354579E-2</v>
      </c>
      <c r="AU82" s="29">
        <v>0</v>
      </c>
      <c r="AV82" s="29">
        <v>0</v>
      </c>
      <c r="AW82" s="29">
        <v>0</v>
      </c>
      <c r="AX82" s="29">
        <f>[1]ResumoGeracaoAtual_BC!C78</f>
        <v>738.44955828508841</v>
      </c>
      <c r="AY82" s="29">
        <v>0</v>
      </c>
      <c r="AZ82" s="183">
        <f t="shared" si="27"/>
        <v>2989885.1463000001</v>
      </c>
      <c r="BA82" s="29">
        <f>[1]ResumoGeracaoAtual_BAC!G78</f>
        <v>1589968.0641483872</v>
      </c>
      <c r="BB82" s="29">
        <v>0</v>
      </c>
      <c r="BC82" s="29">
        <v>0</v>
      </c>
      <c r="BD82" s="29">
        <v>0</v>
      </c>
      <c r="BE82" s="29">
        <v>0</v>
      </c>
      <c r="BF82" s="29">
        <f>[1]ResumoGeracaoAtual_BAC!H78</f>
        <v>1341277.4034750375</v>
      </c>
      <c r="BG82" s="29">
        <v>0</v>
      </c>
      <c r="BH82" s="29">
        <v>0</v>
      </c>
      <c r="BI82" s="29">
        <f>[1]ResumoGeracaoAtual_BAC!AX78</f>
        <v>58639.678675516145</v>
      </c>
      <c r="BJ82" s="183">
        <f t="shared" si="28"/>
        <v>2990623.6124499999</v>
      </c>
      <c r="BK82" s="183">
        <f t="shared" si="29"/>
        <v>317132075.50704002</v>
      </c>
      <c r="BL82" s="183">
        <f>$BO$9+SUMPRODUCT($D$10:D82,$BK$10:BK82)</f>
        <v>1387479815.0308018</v>
      </c>
      <c r="BM82" s="30">
        <f t="shared" si="30"/>
        <v>4.3</v>
      </c>
      <c r="BN82" s="183">
        <f t="shared" si="33"/>
        <v>1223385743.4347799</v>
      </c>
      <c r="BO82" s="184">
        <f t="shared" si="31"/>
        <v>29991349061.611</v>
      </c>
      <c r="BP82" s="41">
        <f t="shared" si="34"/>
        <v>140113.9314419982</v>
      </c>
      <c r="BQ82" s="41">
        <f t="shared" si="35"/>
        <v>10158260.029544869</v>
      </c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x14ac:dyDescent="0.25">
      <c r="A83" s="185">
        <f t="shared" si="32"/>
        <v>74</v>
      </c>
      <c r="B83" s="186">
        <f t="shared" si="32"/>
        <v>2093</v>
      </c>
      <c r="C83" s="29">
        <v>4.3</v>
      </c>
      <c r="D83" s="183">
        <f t="shared" si="36"/>
        <v>4.4350000000000001E-2</v>
      </c>
      <c r="E83" s="29">
        <f>[1]ResumoGeracaoAtual_BAC!B79</f>
        <v>0</v>
      </c>
      <c r="F83" s="183">
        <f t="shared" si="18"/>
        <v>1.2884</v>
      </c>
      <c r="G83" s="29">
        <f>[1]ResumoGeracaoAtual_BC!F79</f>
        <v>1.2883968986869128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183">
        <f t="shared" si="21"/>
        <v>0</v>
      </c>
      <c r="N83" s="29">
        <f>[1]ResumoGeracaoAtual_BAC!C79</f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183">
        <f t="shared" si="22"/>
        <v>0</v>
      </c>
      <c r="V83" s="29">
        <f>[1]ResumoGeracaoAtual_BAC!E79</f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183">
        <f t="shared" si="23"/>
        <v>7673.5390500000003</v>
      </c>
      <c r="AD83" s="29">
        <f>[1]ResumoGeracaoAtual_BAC!AS79</f>
        <v>7673.5390546741446</v>
      </c>
      <c r="AE83" s="29">
        <v>0</v>
      </c>
      <c r="AF83" s="29">
        <v>0</v>
      </c>
      <c r="AG83" s="29">
        <v>0</v>
      </c>
      <c r="AH83" s="183">
        <f t="shared" si="24"/>
        <v>8291.8978900000002</v>
      </c>
      <c r="AI83" s="29">
        <f>[1]ResumoGeracaoAtual_BAC!AT79</f>
        <v>8291.8978854793168</v>
      </c>
      <c r="AJ83" s="29">
        <v>0</v>
      </c>
      <c r="AK83" s="29">
        <v>0</v>
      </c>
      <c r="AL83" s="29">
        <v>0</v>
      </c>
      <c r="AM83" s="29">
        <v>0</v>
      </c>
      <c r="AN83" s="29">
        <f>[1]ResumoGeracaoAtual_BAC!Q79</f>
        <v>54665.842363469696</v>
      </c>
      <c r="AO83" s="29">
        <v>0</v>
      </c>
      <c r="AP83" s="29">
        <v>0</v>
      </c>
      <c r="AQ83" s="29">
        <f>SUM([1]ProjecoesAtuariais_Resumo!E79:J79)</f>
        <v>320000000</v>
      </c>
      <c r="AR83" s="183">
        <f t="shared" si="25"/>
        <v>320070632.56770003</v>
      </c>
      <c r="AS83" s="183">
        <f t="shared" si="26"/>
        <v>325.37938000000003</v>
      </c>
      <c r="AT83" s="29">
        <f>[1]ResumoGeracaoAtual_BC!B79</f>
        <v>0</v>
      </c>
      <c r="AU83" s="29">
        <v>0</v>
      </c>
      <c r="AV83" s="29">
        <v>0</v>
      </c>
      <c r="AW83" s="29">
        <v>0</v>
      </c>
      <c r="AX83" s="29">
        <f>[1]ResumoGeracaoAtual_BC!C79</f>
        <v>325.37937585340569</v>
      </c>
      <c r="AY83" s="29">
        <v>0</v>
      </c>
      <c r="AZ83" s="183">
        <f t="shared" si="27"/>
        <v>1991276.20276</v>
      </c>
      <c r="BA83" s="29">
        <f>[1]ResumoGeracaoAtual_BAC!G79</f>
        <v>1026678.9754732656</v>
      </c>
      <c r="BB83" s="29">
        <v>0</v>
      </c>
      <c r="BC83" s="29">
        <v>0</v>
      </c>
      <c r="BD83" s="29">
        <v>0</v>
      </c>
      <c r="BE83" s="29">
        <v>0</v>
      </c>
      <c r="BF83" s="29">
        <f>[1]ResumoGeracaoAtual_BAC!H79</f>
        <v>925546.21587226843</v>
      </c>
      <c r="BG83" s="29">
        <v>0</v>
      </c>
      <c r="BH83" s="29">
        <v>0</v>
      </c>
      <c r="BI83" s="29">
        <f>[1]ResumoGeracaoAtual_BAC!AX79</f>
        <v>39051.011414427747</v>
      </c>
      <c r="BJ83" s="183">
        <f t="shared" si="28"/>
        <v>1991601.5821400001</v>
      </c>
      <c r="BK83" s="183">
        <f t="shared" si="29"/>
        <v>318079030.98556</v>
      </c>
      <c r="BL83" s="183">
        <f>$BO$9+SUMPRODUCT($D$10:D83,$BK$10:BK83)</f>
        <v>1401586620.0550113</v>
      </c>
      <c r="BM83" s="30">
        <f t="shared" si="30"/>
        <v>4.3</v>
      </c>
      <c r="BN83" s="183">
        <f t="shared" si="33"/>
        <v>1289628009.6492701</v>
      </c>
      <c r="BO83" s="184">
        <f t="shared" si="31"/>
        <v>31599056102.2458</v>
      </c>
      <c r="BP83" s="41">
        <f t="shared" si="34"/>
        <v>89497.315891651611</v>
      </c>
      <c r="BQ83" s="41">
        <f t="shared" si="35"/>
        <v>6578052.7180363936</v>
      </c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x14ac:dyDescent="0.25">
      <c r="A84" s="185">
        <f t="shared" si="32"/>
        <v>75</v>
      </c>
      <c r="B84" s="186">
        <f t="shared" si="32"/>
        <v>2094</v>
      </c>
      <c r="C84" s="29">
        <v>4.3</v>
      </c>
      <c r="D84" s="183">
        <f t="shared" si="36"/>
        <v>4.2520000000000002E-2</v>
      </c>
      <c r="E84" s="29">
        <f>[1]ResumoGeracaoAtual_BAC!B80</f>
        <v>0</v>
      </c>
      <c r="F84" s="183">
        <f t="shared" si="18"/>
        <v>0.19016</v>
      </c>
      <c r="G84" s="29">
        <f>[1]ResumoGeracaoAtual_BC!F80</f>
        <v>0.1901582448462884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183">
        <f t="shared" si="21"/>
        <v>0</v>
      </c>
      <c r="N84" s="29">
        <f>[1]ResumoGeracaoAtual_BAC!C80</f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183">
        <f t="shared" si="22"/>
        <v>0</v>
      </c>
      <c r="V84" s="29">
        <f>[1]ResumoGeracaoAtual_BAC!E80</f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183">
        <f t="shared" si="23"/>
        <v>4202.2642999999998</v>
      </c>
      <c r="AD84" s="29">
        <f>[1]ResumoGeracaoAtual_BAC!AS80</f>
        <v>4202.2643046392313</v>
      </c>
      <c r="AE84" s="29">
        <v>0</v>
      </c>
      <c r="AF84" s="29">
        <v>0</v>
      </c>
      <c r="AG84" s="29">
        <v>0</v>
      </c>
      <c r="AH84" s="183">
        <f t="shared" si="24"/>
        <v>5437.6728599999997</v>
      </c>
      <c r="AI84" s="29">
        <f>[1]ResumoGeracaoAtual_BAC!AT80</f>
        <v>5437.6728631954957</v>
      </c>
      <c r="AJ84" s="29">
        <v>0</v>
      </c>
      <c r="AK84" s="29">
        <v>0</v>
      </c>
      <c r="AL84" s="29">
        <v>0</v>
      </c>
      <c r="AM84" s="29">
        <v>0</v>
      </c>
      <c r="AN84" s="29">
        <f>[1]ResumoGeracaoAtual_BAC!Q80</f>
        <v>29097.734586106679</v>
      </c>
      <c r="AO84" s="29">
        <v>0</v>
      </c>
      <c r="AP84" s="29">
        <v>0</v>
      </c>
      <c r="AQ84" s="29">
        <f>SUM([1]ProjecoesAtuariais_Resumo!E80:J80)</f>
        <v>320000000</v>
      </c>
      <c r="AR84" s="183">
        <f t="shared" si="25"/>
        <v>320038737.86190999</v>
      </c>
      <c r="AS84" s="183">
        <f t="shared" si="26"/>
        <v>121.61821</v>
      </c>
      <c r="AT84" s="29">
        <f>[1]ResumoGeracaoAtual_BC!B80</f>
        <v>0</v>
      </c>
      <c r="AU84" s="29">
        <v>0</v>
      </c>
      <c r="AV84" s="29">
        <v>0</v>
      </c>
      <c r="AW84" s="29">
        <v>0</v>
      </c>
      <c r="AX84" s="29">
        <f>[1]ResumoGeracaoAtual_BC!C80</f>
        <v>121.61821161259894</v>
      </c>
      <c r="AY84" s="29">
        <v>0</v>
      </c>
      <c r="AZ84" s="183">
        <f t="shared" si="27"/>
        <v>1280564.5344199999</v>
      </c>
      <c r="BA84" s="29">
        <f>[1]ResumoGeracaoAtual_BAC!G80</f>
        <v>637345.56665976904</v>
      </c>
      <c r="BB84" s="29">
        <v>0</v>
      </c>
      <c r="BC84" s="29">
        <v>0</v>
      </c>
      <c r="BD84" s="29">
        <v>0</v>
      </c>
      <c r="BE84" s="29">
        <v>0</v>
      </c>
      <c r="BF84" s="29">
        <f>[1]ResumoGeracaoAtual_BAC!H80</f>
        <v>618107.47457206331</v>
      </c>
      <c r="BG84" s="29">
        <v>0</v>
      </c>
      <c r="BH84" s="29">
        <v>0</v>
      </c>
      <c r="BI84" s="29">
        <f>[1]ResumoGeracaoAtual_BAC!AX80</f>
        <v>25111.493188868903</v>
      </c>
      <c r="BJ84" s="183">
        <f t="shared" si="28"/>
        <v>1280686.1526299999</v>
      </c>
      <c r="BK84" s="183">
        <f t="shared" si="29"/>
        <v>318758051.70928001</v>
      </c>
      <c r="BL84" s="183">
        <f>$BO$9+SUMPRODUCT($D$10:D84,$BK$10:BK84)</f>
        <v>1415140212.4136899</v>
      </c>
      <c r="BM84" s="30">
        <f t="shared" si="30"/>
        <v>4.3</v>
      </c>
      <c r="BN84" s="183">
        <f t="shared" si="33"/>
        <v>1358759412.39657</v>
      </c>
      <c r="BO84" s="184">
        <f t="shared" si="31"/>
        <v>33276573566.351601</v>
      </c>
      <c r="BP84" s="41">
        <f t="shared" si="34"/>
        <v>55205.239598095723</v>
      </c>
      <c r="BQ84" s="41">
        <f t="shared" si="35"/>
        <v>4112790.3500581314</v>
      </c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x14ac:dyDescent="0.25">
      <c r="A85" s="185">
        <f t="shared" si="32"/>
        <v>76</v>
      </c>
      <c r="B85" s="186">
        <f t="shared" si="32"/>
        <v>2095</v>
      </c>
      <c r="C85" s="29">
        <v>4.3</v>
      </c>
      <c r="D85" s="183">
        <f t="shared" si="36"/>
        <v>4.0770000000000001E-2</v>
      </c>
      <c r="E85" s="29">
        <v>0</v>
      </c>
      <c r="F85" s="183">
        <f t="shared" si="18"/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183">
        <f t="shared" si="21"/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183">
        <f t="shared" si="22"/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183">
        <f t="shared" si="23"/>
        <v>0</v>
      </c>
      <c r="AD85" s="29">
        <v>0</v>
      </c>
      <c r="AE85" s="29">
        <v>0</v>
      </c>
      <c r="AF85" s="29">
        <v>0</v>
      </c>
      <c r="AG85" s="29">
        <v>0</v>
      </c>
      <c r="AH85" s="183">
        <f t="shared" si="24"/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183">
        <f t="shared" si="25"/>
        <v>0</v>
      </c>
      <c r="AS85" s="183">
        <f t="shared" si="26"/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183">
        <f t="shared" si="27"/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183">
        <f t="shared" si="28"/>
        <v>0</v>
      </c>
      <c r="BK85" s="183">
        <f t="shared" si="29"/>
        <v>0</v>
      </c>
      <c r="BL85" s="183">
        <f>$BO$9+SUMPRODUCT($D$10:D85,$BK$10:BK85)</f>
        <v>1415140212.4136899</v>
      </c>
      <c r="BM85" s="30">
        <f t="shared" si="30"/>
        <v>4.3</v>
      </c>
      <c r="BN85" s="183">
        <f t="shared" si="33"/>
        <v>1430892663.3531201</v>
      </c>
      <c r="BO85" s="184">
        <f t="shared" si="31"/>
        <v>34707466229.704697</v>
      </c>
      <c r="BP85" s="41">
        <f t="shared" si="34"/>
        <v>0</v>
      </c>
      <c r="BQ85" s="41">
        <f t="shared" si="35"/>
        <v>0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5">
      <c r="A86" s="185">
        <f t="shared" si="32"/>
        <v>77</v>
      </c>
      <c r="B86" s="186">
        <f t="shared" si="32"/>
        <v>2096</v>
      </c>
      <c r="C86" s="29">
        <v>4.3</v>
      </c>
      <c r="D86" s="183">
        <f t="shared" si="36"/>
        <v>3.909E-2</v>
      </c>
      <c r="E86" s="29">
        <v>0</v>
      </c>
      <c r="F86" s="183">
        <f t="shared" si="18"/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183">
        <f t="shared" si="21"/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183">
        <f t="shared" si="22"/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183">
        <f t="shared" si="23"/>
        <v>0</v>
      </c>
      <c r="AD86" s="29">
        <v>0</v>
      </c>
      <c r="AE86" s="29">
        <v>0</v>
      </c>
      <c r="AF86" s="29">
        <v>0</v>
      </c>
      <c r="AG86" s="29">
        <v>0</v>
      </c>
      <c r="AH86" s="183">
        <f t="shared" si="24"/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183">
        <f t="shared" si="25"/>
        <v>0</v>
      </c>
      <c r="AS86" s="183">
        <f t="shared" si="26"/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183">
        <f t="shared" si="27"/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183">
        <f t="shared" si="28"/>
        <v>0</v>
      </c>
      <c r="BK86" s="183">
        <f t="shared" si="29"/>
        <v>0</v>
      </c>
      <c r="BL86" s="183">
        <f>$BO$9+SUMPRODUCT($D$10:D86,$BK$10:BK86)</f>
        <v>1415140212.4136899</v>
      </c>
      <c r="BM86" s="30">
        <f t="shared" si="30"/>
        <v>4.3</v>
      </c>
      <c r="BN86" s="183">
        <f t="shared" si="33"/>
        <v>1492421047.8773</v>
      </c>
      <c r="BO86" s="184">
        <f t="shared" si="31"/>
        <v>36199887277.582001</v>
      </c>
      <c r="BP86" s="41">
        <f t="shared" si="34"/>
        <v>0</v>
      </c>
      <c r="BQ86" s="41">
        <f t="shared" si="35"/>
        <v>0</v>
      </c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5">
      <c r="A87" s="185">
        <f t="shared" si="32"/>
        <v>78</v>
      </c>
      <c r="B87" s="186">
        <f t="shared" si="32"/>
        <v>2097</v>
      </c>
      <c r="C87" s="29">
        <v>4.3</v>
      </c>
      <c r="D87" s="183">
        <f t="shared" si="36"/>
        <v>3.7479999999999999E-2</v>
      </c>
      <c r="E87" s="29">
        <v>0</v>
      </c>
      <c r="F87" s="183">
        <f t="shared" si="18"/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183">
        <f t="shared" si="21"/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183">
        <f t="shared" si="22"/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183">
        <f t="shared" si="23"/>
        <v>0</v>
      </c>
      <c r="AD87" s="29">
        <v>0</v>
      </c>
      <c r="AE87" s="29">
        <v>0</v>
      </c>
      <c r="AF87" s="29">
        <v>0</v>
      </c>
      <c r="AG87" s="29">
        <v>0</v>
      </c>
      <c r="AH87" s="183">
        <f t="shared" si="24"/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183">
        <f t="shared" si="25"/>
        <v>0</v>
      </c>
      <c r="AS87" s="183">
        <f t="shared" si="26"/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183">
        <f t="shared" si="27"/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183">
        <f t="shared" si="28"/>
        <v>0</v>
      </c>
      <c r="BK87" s="183">
        <f t="shared" si="29"/>
        <v>0</v>
      </c>
      <c r="BL87" s="183">
        <f>$BO$9+SUMPRODUCT($D$10:D87,$BK$10:BK87)</f>
        <v>1415140212.4136899</v>
      </c>
      <c r="BM87" s="30">
        <f t="shared" si="30"/>
        <v>4.3</v>
      </c>
      <c r="BN87" s="183">
        <f t="shared" si="33"/>
        <v>1556595152.9360299</v>
      </c>
      <c r="BO87" s="184">
        <f t="shared" si="31"/>
        <v>37756482430.517998</v>
      </c>
      <c r="BP87" s="41">
        <f t="shared" si="34"/>
        <v>0</v>
      </c>
      <c r="BQ87" s="41">
        <f t="shared" si="35"/>
        <v>0</v>
      </c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5">
      <c r="A88" s="185">
        <f t="shared" si="32"/>
        <v>79</v>
      </c>
      <c r="B88" s="186">
        <f t="shared" si="32"/>
        <v>2098</v>
      </c>
      <c r="C88" s="29">
        <v>4.3</v>
      </c>
      <c r="D88" s="183">
        <f t="shared" si="36"/>
        <v>3.5929999999999997E-2</v>
      </c>
      <c r="E88" s="29">
        <v>0</v>
      </c>
      <c r="F88" s="183">
        <f t="shared" si="18"/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183">
        <f t="shared" si="21"/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183">
        <f t="shared" si="22"/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183">
        <f t="shared" si="23"/>
        <v>0</v>
      </c>
      <c r="AD88" s="29">
        <v>0</v>
      </c>
      <c r="AE88" s="29">
        <v>0</v>
      </c>
      <c r="AF88" s="29">
        <v>0</v>
      </c>
      <c r="AG88" s="29">
        <v>0</v>
      </c>
      <c r="AH88" s="183">
        <f t="shared" si="24"/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183">
        <f t="shared" si="25"/>
        <v>0</v>
      </c>
      <c r="AS88" s="183">
        <f t="shared" si="26"/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183">
        <f t="shared" si="27"/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183">
        <f t="shared" si="28"/>
        <v>0</v>
      </c>
      <c r="BK88" s="183">
        <f t="shared" si="29"/>
        <v>0</v>
      </c>
      <c r="BL88" s="183">
        <f>$BO$9+SUMPRODUCT($D$10:D88,$BK$10:BK88)</f>
        <v>1415140212.4136899</v>
      </c>
      <c r="BM88" s="30">
        <f t="shared" si="30"/>
        <v>4.3</v>
      </c>
      <c r="BN88" s="183">
        <f t="shared" si="33"/>
        <v>1623528744.51227</v>
      </c>
      <c r="BO88" s="184">
        <f t="shared" si="31"/>
        <v>39380011175.030296</v>
      </c>
      <c r="BP88" s="41">
        <f t="shared" si="34"/>
        <v>0</v>
      </c>
      <c r="BQ88" s="41">
        <f t="shared" si="35"/>
        <v>0</v>
      </c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5">
      <c r="A89" s="185">
        <f t="shared" si="32"/>
        <v>80</v>
      </c>
      <c r="B89" s="186">
        <f t="shared" si="32"/>
        <v>2099</v>
      </c>
      <c r="C89" s="29">
        <v>4.3</v>
      </c>
      <c r="D89" s="183">
        <f t="shared" si="36"/>
        <v>3.4450000000000001E-2</v>
      </c>
      <c r="E89" s="29">
        <v>0</v>
      </c>
      <c r="F89" s="183">
        <f t="shared" si="18"/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183">
        <f t="shared" si="21"/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183">
        <f t="shared" si="22"/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183">
        <f t="shared" si="23"/>
        <v>0</v>
      </c>
      <c r="AD89" s="29">
        <v>0</v>
      </c>
      <c r="AE89" s="29">
        <v>0</v>
      </c>
      <c r="AF89" s="29">
        <v>0</v>
      </c>
      <c r="AG89" s="29">
        <v>0</v>
      </c>
      <c r="AH89" s="183">
        <f t="shared" si="24"/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183">
        <f t="shared" si="25"/>
        <v>0</v>
      </c>
      <c r="AS89" s="183">
        <f t="shared" si="26"/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183">
        <f t="shared" si="27"/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183">
        <f t="shared" si="28"/>
        <v>0</v>
      </c>
      <c r="BK89" s="183">
        <f t="shared" si="29"/>
        <v>0</v>
      </c>
      <c r="BL89" s="183">
        <f>$BO$9+SUMPRODUCT($D$10:D89,$BK$10:BK89)</f>
        <v>1415140212.4136899</v>
      </c>
      <c r="BM89" s="30">
        <f t="shared" si="30"/>
        <v>4.3</v>
      </c>
      <c r="BN89" s="183">
        <f t="shared" si="33"/>
        <v>1693340480.5263</v>
      </c>
      <c r="BO89" s="184">
        <f t="shared" si="31"/>
        <v>41073351655.556602</v>
      </c>
      <c r="BP89" s="41">
        <f t="shared" si="34"/>
        <v>0</v>
      </c>
      <c r="BQ89" s="41">
        <f t="shared" si="35"/>
        <v>0</v>
      </c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5">
      <c r="A90" s="185">
        <f t="shared" si="32"/>
        <v>81</v>
      </c>
      <c r="B90" s="186">
        <f t="shared" si="32"/>
        <v>2100</v>
      </c>
      <c r="C90" s="29">
        <v>4.3</v>
      </c>
      <c r="D90" s="183">
        <f t="shared" si="36"/>
        <v>3.3029999999999997E-2</v>
      </c>
      <c r="E90" s="29">
        <v>0</v>
      </c>
      <c r="F90" s="183">
        <f t="shared" si="18"/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183">
        <f t="shared" si="21"/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183">
        <f t="shared" si="22"/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183">
        <f t="shared" si="23"/>
        <v>0</v>
      </c>
      <c r="AD90" s="29">
        <v>0</v>
      </c>
      <c r="AE90" s="29">
        <v>0</v>
      </c>
      <c r="AF90" s="29">
        <v>0</v>
      </c>
      <c r="AG90" s="29">
        <v>0</v>
      </c>
      <c r="AH90" s="183">
        <f t="shared" si="24"/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183">
        <f t="shared" si="25"/>
        <v>0</v>
      </c>
      <c r="AS90" s="183">
        <f t="shared" si="26"/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183">
        <f t="shared" si="27"/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183">
        <f t="shared" si="28"/>
        <v>0</v>
      </c>
      <c r="BK90" s="183">
        <f t="shared" si="29"/>
        <v>0</v>
      </c>
      <c r="BL90" s="183">
        <f>$BO$9+SUMPRODUCT($D$10:D90,$BK$10:BK90)</f>
        <v>1415140212.4136899</v>
      </c>
      <c r="BM90" s="30">
        <f t="shared" si="30"/>
        <v>4.3</v>
      </c>
      <c r="BN90" s="183">
        <f t="shared" si="33"/>
        <v>1766154121.18893</v>
      </c>
      <c r="BO90" s="184">
        <f t="shared" si="31"/>
        <v>42839505776.745499</v>
      </c>
      <c r="BP90" s="41">
        <f t="shared" si="34"/>
        <v>0</v>
      </c>
      <c r="BQ90" s="41">
        <f t="shared" si="35"/>
        <v>0</v>
      </c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x14ac:dyDescent="0.25">
      <c r="A91" s="185">
        <f t="shared" ref="A91:B106" si="37">A90+1</f>
        <v>82</v>
      </c>
      <c r="B91" s="186">
        <f t="shared" si="37"/>
        <v>2101</v>
      </c>
      <c r="C91" s="29">
        <v>4.3</v>
      </c>
      <c r="D91" s="183">
        <f t="shared" si="36"/>
        <v>3.1669999999999997E-2</v>
      </c>
      <c r="E91" s="29">
        <v>0</v>
      </c>
      <c r="F91" s="183">
        <f t="shared" si="18"/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183">
        <f t="shared" si="21"/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183">
        <f t="shared" si="22"/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183">
        <f t="shared" si="23"/>
        <v>0</v>
      </c>
      <c r="AD91" s="29">
        <v>0</v>
      </c>
      <c r="AE91" s="29">
        <v>0</v>
      </c>
      <c r="AF91" s="29">
        <v>0</v>
      </c>
      <c r="AG91" s="29">
        <v>0</v>
      </c>
      <c r="AH91" s="183">
        <f t="shared" si="24"/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183">
        <f t="shared" si="25"/>
        <v>0</v>
      </c>
      <c r="AS91" s="183">
        <f t="shared" si="26"/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183">
        <f t="shared" si="27"/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183">
        <f t="shared" si="28"/>
        <v>0</v>
      </c>
      <c r="BK91" s="183">
        <f t="shared" si="29"/>
        <v>0</v>
      </c>
      <c r="BL91" s="183">
        <f>$BO$9+SUMPRODUCT($D$10:D91,$BK$10:BK91)</f>
        <v>1415140212.4136899</v>
      </c>
      <c r="BM91" s="30">
        <f t="shared" si="30"/>
        <v>4.3</v>
      </c>
      <c r="BN91" s="183">
        <f t="shared" si="33"/>
        <v>1842098748.4000599</v>
      </c>
      <c r="BO91" s="184">
        <f t="shared" si="31"/>
        <v>44681604525.145599</v>
      </c>
      <c r="BP91" s="41">
        <f t="shared" si="34"/>
        <v>0</v>
      </c>
      <c r="BQ91" s="41">
        <f t="shared" si="35"/>
        <v>0</v>
      </c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x14ac:dyDescent="0.25">
      <c r="A92" s="185">
        <f t="shared" si="37"/>
        <v>83</v>
      </c>
      <c r="B92" s="186">
        <f t="shared" si="37"/>
        <v>2102</v>
      </c>
      <c r="C92" s="29">
        <v>4.3</v>
      </c>
      <c r="D92" s="183">
        <f t="shared" si="36"/>
        <v>3.0360000000000002E-2</v>
      </c>
      <c r="E92" s="29">
        <v>0</v>
      </c>
      <c r="F92" s="183">
        <f t="shared" si="18"/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183">
        <f t="shared" si="21"/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183">
        <f t="shared" si="22"/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183">
        <f t="shared" si="23"/>
        <v>0</v>
      </c>
      <c r="AD92" s="29">
        <v>0</v>
      </c>
      <c r="AE92" s="29">
        <v>0</v>
      </c>
      <c r="AF92" s="29">
        <v>0</v>
      </c>
      <c r="AG92" s="29">
        <v>0</v>
      </c>
      <c r="AH92" s="183">
        <f t="shared" si="24"/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183">
        <f t="shared" si="25"/>
        <v>0</v>
      </c>
      <c r="AS92" s="183">
        <f t="shared" si="26"/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183">
        <f t="shared" si="27"/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183">
        <f t="shared" si="28"/>
        <v>0</v>
      </c>
      <c r="BK92" s="183">
        <f t="shared" si="29"/>
        <v>0</v>
      </c>
      <c r="BL92" s="183">
        <f>$BO$9+SUMPRODUCT($D$10:D92,$BK$10:BK92)</f>
        <v>1415140212.4136899</v>
      </c>
      <c r="BM92" s="30">
        <f t="shared" si="30"/>
        <v>4.3</v>
      </c>
      <c r="BN92" s="183">
        <f t="shared" si="33"/>
        <v>1921308994.58126</v>
      </c>
      <c r="BO92" s="184">
        <f t="shared" si="31"/>
        <v>46602913519.726898</v>
      </c>
      <c r="BP92" s="41">
        <f t="shared" si="34"/>
        <v>0</v>
      </c>
      <c r="BQ92" s="41">
        <f t="shared" si="35"/>
        <v>0</v>
      </c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25">
      <c r="A93" s="185">
        <f t="shared" si="37"/>
        <v>84</v>
      </c>
      <c r="B93" s="186">
        <f t="shared" si="37"/>
        <v>2103</v>
      </c>
      <c r="C93" s="29">
        <v>4.3</v>
      </c>
      <c r="D93" s="183">
        <f t="shared" si="36"/>
        <v>2.911E-2</v>
      </c>
      <c r="E93" s="29">
        <v>0</v>
      </c>
      <c r="F93" s="183">
        <f t="shared" si="18"/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183">
        <f t="shared" si="21"/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183">
        <f t="shared" si="22"/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183">
        <f t="shared" si="23"/>
        <v>0</v>
      </c>
      <c r="AD93" s="29">
        <v>0</v>
      </c>
      <c r="AE93" s="29">
        <v>0</v>
      </c>
      <c r="AF93" s="29">
        <v>0</v>
      </c>
      <c r="AG93" s="29">
        <v>0</v>
      </c>
      <c r="AH93" s="183">
        <f t="shared" si="24"/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183">
        <f t="shared" si="25"/>
        <v>0</v>
      </c>
      <c r="AS93" s="183">
        <f t="shared" si="26"/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183">
        <f t="shared" si="27"/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183">
        <f t="shared" si="28"/>
        <v>0</v>
      </c>
      <c r="BK93" s="183">
        <f t="shared" si="29"/>
        <v>0</v>
      </c>
      <c r="BL93" s="183">
        <f>$BO$9+SUMPRODUCT($D$10:D93,$BK$10:BK93)</f>
        <v>1415140212.4136899</v>
      </c>
      <c r="BM93" s="30">
        <f t="shared" si="30"/>
        <v>4.3</v>
      </c>
      <c r="BN93" s="183">
        <f t="shared" si="33"/>
        <v>2003925281.3482599</v>
      </c>
      <c r="BO93" s="184">
        <f t="shared" si="31"/>
        <v>48606838801.075203</v>
      </c>
      <c r="BP93" s="41">
        <f t="shared" si="34"/>
        <v>0</v>
      </c>
      <c r="BQ93" s="41">
        <f t="shared" si="35"/>
        <v>0</v>
      </c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x14ac:dyDescent="0.25">
      <c r="A94" s="185">
        <f t="shared" si="37"/>
        <v>85</v>
      </c>
      <c r="B94" s="186">
        <f t="shared" si="37"/>
        <v>2104</v>
      </c>
      <c r="C94" s="29">
        <v>4.3</v>
      </c>
      <c r="D94" s="183">
        <f t="shared" si="36"/>
        <v>2.7910000000000001E-2</v>
      </c>
      <c r="E94" s="29">
        <v>0</v>
      </c>
      <c r="F94" s="183">
        <f t="shared" si="18"/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183">
        <f t="shared" si="21"/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183">
        <f t="shared" si="22"/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183">
        <f t="shared" si="23"/>
        <v>0</v>
      </c>
      <c r="AD94" s="29">
        <v>0</v>
      </c>
      <c r="AE94" s="29">
        <v>0</v>
      </c>
      <c r="AF94" s="29">
        <v>0</v>
      </c>
      <c r="AG94" s="29">
        <v>0</v>
      </c>
      <c r="AH94" s="183">
        <f t="shared" si="24"/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183">
        <f t="shared" si="25"/>
        <v>0</v>
      </c>
      <c r="AS94" s="183">
        <f t="shared" si="26"/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183">
        <f t="shared" si="27"/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183">
        <f t="shared" si="28"/>
        <v>0</v>
      </c>
      <c r="BK94" s="183">
        <f t="shared" si="29"/>
        <v>0</v>
      </c>
      <c r="BL94" s="183">
        <f>$BO$9+SUMPRODUCT($D$10:D94,$BK$10:BK94)</f>
        <v>1415140212.4136899</v>
      </c>
      <c r="BM94" s="30">
        <f t="shared" si="30"/>
        <v>4.3</v>
      </c>
      <c r="BN94" s="183">
        <f t="shared" si="33"/>
        <v>2090094068.4462299</v>
      </c>
      <c r="BO94" s="184">
        <f t="shared" si="31"/>
        <v>50696932869.5214</v>
      </c>
      <c r="BP94" s="41">
        <f t="shared" si="34"/>
        <v>0</v>
      </c>
      <c r="BQ94" s="41">
        <f t="shared" si="35"/>
        <v>0</v>
      </c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5">
      <c r="A95" s="185">
        <f t="shared" si="37"/>
        <v>86</v>
      </c>
      <c r="B95" s="186">
        <f t="shared" si="37"/>
        <v>2105</v>
      </c>
      <c r="C95" s="29">
        <v>4.3</v>
      </c>
      <c r="D95" s="183">
        <f t="shared" si="36"/>
        <v>2.6759999999999999E-2</v>
      </c>
      <c r="E95" s="29">
        <v>0</v>
      </c>
      <c r="F95" s="183">
        <f t="shared" si="18"/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183">
        <f t="shared" si="21"/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183">
        <f t="shared" si="22"/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183">
        <f t="shared" si="23"/>
        <v>0</v>
      </c>
      <c r="AD95" s="29">
        <v>0</v>
      </c>
      <c r="AE95" s="29">
        <v>0</v>
      </c>
      <c r="AF95" s="29">
        <v>0</v>
      </c>
      <c r="AG95" s="29">
        <v>0</v>
      </c>
      <c r="AH95" s="183">
        <f t="shared" si="24"/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183">
        <f t="shared" si="25"/>
        <v>0</v>
      </c>
      <c r="AS95" s="183">
        <f t="shared" si="26"/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183">
        <f t="shared" si="27"/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183">
        <f t="shared" si="28"/>
        <v>0</v>
      </c>
      <c r="BK95" s="183">
        <f t="shared" si="29"/>
        <v>0</v>
      </c>
      <c r="BL95" s="183">
        <f>$BO$9+SUMPRODUCT($D$10:D95,$BK$10:BK95)</f>
        <v>1415140212.4136899</v>
      </c>
      <c r="BM95" s="30">
        <f t="shared" si="30"/>
        <v>4.3</v>
      </c>
      <c r="BN95" s="183">
        <f t="shared" si="33"/>
        <v>2179968113.38942</v>
      </c>
      <c r="BO95" s="184">
        <f t="shared" si="31"/>
        <v>52876900982.910797</v>
      </c>
      <c r="BP95" s="41">
        <f t="shared" si="34"/>
        <v>0</v>
      </c>
      <c r="BQ95" s="41">
        <f t="shared" si="35"/>
        <v>0</v>
      </c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5">
      <c r="A96" s="185">
        <f t="shared" si="37"/>
        <v>87</v>
      </c>
      <c r="B96" s="186">
        <f t="shared" si="37"/>
        <v>2106</v>
      </c>
      <c r="C96" s="29">
        <v>4.3</v>
      </c>
      <c r="D96" s="183">
        <f t="shared" si="36"/>
        <v>2.5659999999999999E-2</v>
      </c>
      <c r="E96" s="29">
        <v>0</v>
      </c>
      <c r="F96" s="183">
        <f t="shared" si="18"/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183">
        <f t="shared" si="21"/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183">
        <f t="shared" si="22"/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183">
        <f t="shared" si="23"/>
        <v>0</v>
      </c>
      <c r="AD96" s="29">
        <v>0</v>
      </c>
      <c r="AE96" s="29">
        <v>0</v>
      </c>
      <c r="AF96" s="29">
        <v>0</v>
      </c>
      <c r="AG96" s="29">
        <v>0</v>
      </c>
      <c r="AH96" s="183">
        <f t="shared" si="24"/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183">
        <f t="shared" si="25"/>
        <v>0</v>
      </c>
      <c r="AS96" s="183">
        <f t="shared" si="26"/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183">
        <f t="shared" si="27"/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0</v>
      </c>
      <c r="BI96" s="29">
        <v>0</v>
      </c>
      <c r="BJ96" s="183">
        <f t="shared" si="28"/>
        <v>0</v>
      </c>
      <c r="BK96" s="183">
        <f t="shared" si="29"/>
        <v>0</v>
      </c>
      <c r="BL96" s="183">
        <f>$BO$9+SUMPRODUCT($D$10:D96,$BK$10:BK96)</f>
        <v>1415140212.4136899</v>
      </c>
      <c r="BM96" s="30">
        <f t="shared" si="30"/>
        <v>4.3</v>
      </c>
      <c r="BN96" s="183">
        <f t="shared" si="33"/>
        <v>2273706742.2651601</v>
      </c>
      <c r="BO96" s="184">
        <f t="shared" si="31"/>
        <v>55150607725.176003</v>
      </c>
      <c r="BP96" s="41">
        <f t="shared" si="34"/>
        <v>0</v>
      </c>
      <c r="BQ96" s="41">
        <f t="shared" si="35"/>
        <v>0</v>
      </c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x14ac:dyDescent="0.25">
      <c r="A97" s="185">
        <f t="shared" si="37"/>
        <v>88</v>
      </c>
      <c r="B97" s="186">
        <f t="shared" si="37"/>
        <v>2107</v>
      </c>
      <c r="C97" s="29">
        <v>4.3</v>
      </c>
      <c r="D97" s="183">
        <f t="shared" si="36"/>
        <v>2.46E-2</v>
      </c>
      <c r="E97" s="29">
        <v>0</v>
      </c>
      <c r="F97" s="183">
        <f t="shared" si="18"/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183">
        <f t="shared" si="21"/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183">
        <f t="shared" si="22"/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183">
        <f t="shared" si="23"/>
        <v>0</v>
      </c>
      <c r="AD97" s="29">
        <v>0</v>
      </c>
      <c r="AE97" s="29">
        <v>0</v>
      </c>
      <c r="AF97" s="29">
        <v>0</v>
      </c>
      <c r="AG97" s="29">
        <v>0</v>
      </c>
      <c r="AH97" s="183">
        <f t="shared" si="24"/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183">
        <f t="shared" si="25"/>
        <v>0</v>
      </c>
      <c r="AS97" s="183">
        <f t="shared" si="26"/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183">
        <f t="shared" si="27"/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0</v>
      </c>
      <c r="BI97" s="29">
        <v>0</v>
      </c>
      <c r="BJ97" s="183">
        <f t="shared" si="28"/>
        <v>0</v>
      </c>
      <c r="BK97" s="183">
        <f t="shared" si="29"/>
        <v>0</v>
      </c>
      <c r="BL97" s="183">
        <f>$BO$9+SUMPRODUCT($D$10:D97,$BK$10:BK97)</f>
        <v>1415140212.4136899</v>
      </c>
      <c r="BM97" s="30">
        <f t="shared" si="30"/>
        <v>4.3</v>
      </c>
      <c r="BN97" s="183">
        <f t="shared" si="33"/>
        <v>2371476132.18257</v>
      </c>
      <c r="BO97" s="184">
        <f t="shared" si="31"/>
        <v>57522083857.358597</v>
      </c>
      <c r="BP97" s="41">
        <f t="shared" si="34"/>
        <v>0</v>
      </c>
      <c r="BQ97" s="41">
        <f t="shared" si="35"/>
        <v>0</v>
      </c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x14ac:dyDescent="0.25">
      <c r="A98" s="185">
        <f t="shared" si="37"/>
        <v>89</v>
      </c>
      <c r="B98" s="186">
        <f t="shared" si="37"/>
        <v>2108</v>
      </c>
      <c r="C98" s="29">
        <v>4.3</v>
      </c>
      <c r="D98" s="183">
        <f t="shared" si="36"/>
        <v>2.359E-2</v>
      </c>
      <c r="E98" s="29">
        <v>0</v>
      </c>
      <c r="F98" s="183">
        <f t="shared" si="18"/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183">
        <f t="shared" si="21"/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183">
        <f t="shared" si="22"/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183">
        <f t="shared" si="23"/>
        <v>0</v>
      </c>
      <c r="AD98" s="29">
        <v>0</v>
      </c>
      <c r="AE98" s="29">
        <v>0</v>
      </c>
      <c r="AF98" s="29">
        <v>0</v>
      </c>
      <c r="AG98" s="29">
        <v>0</v>
      </c>
      <c r="AH98" s="183">
        <f t="shared" si="24"/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183">
        <f t="shared" si="25"/>
        <v>0</v>
      </c>
      <c r="AS98" s="183">
        <f t="shared" si="26"/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183">
        <f t="shared" si="27"/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183">
        <f t="shared" si="28"/>
        <v>0</v>
      </c>
      <c r="BK98" s="183">
        <f t="shared" si="29"/>
        <v>0</v>
      </c>
      <c r="BL98" s="183">
        <f>$BO$9+SUMPRODUCT($D$10:D98,$BK$10:BK98)</f>
        <v>1415140212.4136899</v>
      </c>
      <c r="BM98" s="30">
        <f t="shared" si="30"/>
        <v>4.3</v>
      </c>
      <c r="BN98" s="183">
        <f t="shared" si="33"/>
        <v>2473449605.8664198</v>
      </c>
      <c r="BO98" s="184">
        <f t="shared" si="31"/>
        <v>59995533463.224998</v>
      </c>
      <c r="BP98" s="41">
        <f t="shared" si="34"/>
        <v>0</v>
      </c>
      <c r="BQ98" s="41">
        <f t="shared" si="35"/>
        <v>0</v>
      </c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x14ac:dyDescent="0.25">
      <c r="A99" s="185">
        <f t="shared" si="37"/>
        <v>90</v>
      </c>
      <c r="B99" s="186">
        <f t="shared" si="37"/>
        <v>2109</v>
      </c>
      <c r="C99" s="29">
        <v>4.3</v>
      </c>
      <c r="D99" s="183">
        <f t="shared" si="36"/>
        <v>2.2620000000000001E-2</v>
      </c>
      <c r="E99" s="29">
        <v>0</v>
      </c>
      <c r="F99" s="183">
        <f t="shared" si="18"/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183">
        <f t="shared" si="21"/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183">
        <f t="shared" si="22"/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183">
        <f t="shared" si="23"/>
        <v>0</v>
      </c>
      <c r="AD99" s="29">
        <v>0</v>
      </c>
      <c r="AE99" s="29">
        <v>0</v>
      </c>
      <c r="AF99" s="29">
        <v>0</v>
      </c>
      <c r="AG99" s="29">
        <v>0</v>
      </c>
      <c r="AH99" s="183">
        <f t="shared" si="24"/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183">
        <f t="shared" si="25"/>
        <v>0</v>
      </c>
      <c r="AS99" s="183">
        <f t="shared" si="26"/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183">
        <f t="shared" si="27"/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0</v>
      </c>
      <c r="BI99" s="29">
        <v>0</v>
      </c>
      <c r="BJ99" s="183">
        <f t="shared" si="28"/>
        <v>0</v>
      </c>
      <c r="BK99" s="183">
        <f t="shared" si="29"/>
        <v>0</v>
      </c>
      <c r="BL99" s="183">
        <f>$BO$9+SUMPRODUCT($D$10:D99,$BK$10:BK99)</f>
        <v>1415140212.4136899</v>
      </c>
      <c r="BM99" s="30">
        <f t="shared" si="30"/>
        <v>4.3</v>
      </c>
      <c r="BN99" s="183">
        <f t="shared" si="33"/>
        <v>2579807938.9186702</v>
      </c>
      <c r="BO99" s="184">
        <f t="shared" si="31"/>
        <v>62575341402.1437</v>
      </c>
      <c r="BP99" s="41">
        <f t="shared" si="34"/>
        <v>0</v>
      </c>
      <c r="BQ99" s="41">
        <f t="shared" si="35"/>
        <v>0</v>
      </c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x14ac:dyDescent="0.25">
      <c r="A100" s="185">
        <f t="shared" si="37"/>
        <v>91</v>
      </c>
      <c r="B100" s="186">
        <f t="shared" si="37"/>
        <v>2110</v>
      </c>
      <c r="C100" s="29">
        <v>4.3</v>
      </c>
      <c r="D100" s="183">
        <f t="shared" si="36"/>
        <v>2.1690000000000001E-2</v>
      </c>
      <c r="E100" s="29">
        <v>0</v>
      </c>
      <c r="F100" s="183">
        <f t="shared" si="18"/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183">
        <f t="shared" si="21"/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183">
        <f t="shared" si="22"/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183">
        <f t="shared" si="23"/>
        <v>0</v>
      </c>
      <c r="AD100" s="29">
        <v>0</v>
      </c>
      <c r="AE100" s="29">
        <v>0</v>
      </c>
      <c r="AF100" s="29">
        <v>0</v>
      </c>
      <c r="AG100" s="29">
        <v>0</v>
      </c>
      <c r="AH100" s="183">
        <f t="shared" si="24"/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183">
        <f t="shared" si="25"/>
        <v>0</v>
      </c>
      <c r="AS100" s="183">
        <f t="shared" si="26"/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183">
        <f t="shared" si="27"/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183">
        <f t="shared" si="28"/>
        <v>0</v>
      </c>
      <c r="BK100" s="183">
        <f t="shared" si="29"/>
        <v>0</v>
      </c>
      <c r="BL100" s="183">
        <f>$BO$9+SUMPRODUCT($D$10:D100,$BK$10:BK100)</f>
        <v>1415140212.4136899</v>
      </c>
      <c r="BM100" s="30">
        <f t="shared" si="30"/>
        <v>4.3</v>
      </c>
      <c r="BN100" s="183">
        <f t="shared" si="33"/>
        <v>2690739680.2921801</v>
      </c>
      <c r="BO100" s="184">
        <f t="shared" si="31"/>
        <v>65266081082.435898</v>
      </c>
      <c r="BP100" s="41">
        <f t="shared" si="34"/>
        <v>0</v>
      </c>
      <c r="BQ100" s="41">
        <f t="shared" si="35"/>
        <v>0</v>
      </c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x14ac:dyDescent="0.25">
      <c r="A101" s="185">
        <f t="shared" si="37"/>
        <v>92</v>
      </c>
      <c r="B101" s="186">
        <f t="shared" si="37"/>
        <v>2111</v>
      </c>
      <c r="C101" s="29">
        <v>4.3</v>
      </c>
      <c r="D101" s="183">
        <f t="shared" si="36"/>
        <v>2.0799999999999999E-2</v>
      </c>
      <c r="E101" s="29">
        <v>0</v>
      </c>
      <c r="F101" s="183">
        <f t="shared" si="18"/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183">
        <f t="shared" si="21"/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183">
        <f t="shared" si="22"/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183">
        <f t="shared" si="23"/>
        <v>0</v>
      </c>
      <c r="AD101" s="29">
        <v>0</v>
      </c>
      <c r="AE101" s="29">
        <v>0</v>
      </c>
      <c r="AF101" s="29">
        <v>0</v>
      </c>
      <c r="AG101" s="29">
        <v>0</v>
      </c>
      <c r="AH101" s="183">
        <f t="shared" si="24"/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183">
        <f t="shared" si="25"/>
        <v>0</v>
      </c>
      <c r="AS101" s="183">
        <f t="shared" si="26"/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183">
        <f t="shared" si="27"/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0</v>
      </c>
      <c r="BI101" s="29">
        <v>0</v>
      </c>
      <c r="BJ101" s="183">
        <f t="shared" si="28"/>
        <v>0</v>
      </c>
      <c r="BK101" s="183">
        <f t="shared" si="29"/>
        <v>0</v>
      </c>
      <c r="BL101" s="183">
        <f>$BO$9+SUMPRODUCT($D$10:D101,$BK$10:BK101)</f>
        <v>1415140212.4136899</v>
      </c>
      <c r="BM101" s="30">
        <f t="shared" si="30"/>
        <v>4.3</v>
      </c>
      <c r="BN101" s="183">
        <f t="shared" si="33"/>
        <v>2806441486.5447402</v>
      </c>
      <c r="BO101" s="184">
        <f t="shared" si="31"/>
        <v>68072522568.980598</v>
      </c>
      <c r="BP101" s="41">
        <f t="shared" si="34"/>
        <v>0</v>
      </c>
      <c r="BQ101" s="41">
        <f t="shared" si="35"/>
        <v>0</v>
      </c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x14ac:dyDescent="0.25">
      <c r="A102" s="185">
        <f t="shared" si="37"/>
        <v>93</v>
      </c>
      <c r="B102" s="186">
        <f t="shared" si="37"/>
        <v>2112</v>
      </c>
      <c r="C102" s="29">
        <v>4.3</v>
      </c>
      <c r="D102" s="183">
        <f t="shared" si="36"/>
        <v>1.9939999999999999E-2</v>
      </c>
      <c r="E102" s="29">
        <v>0</v>
      </c>
      <c r="F102" s="183">
        <f t="shared" si="18"/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183">
        <f t="shared" si="21"/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183">
        <f t="shared" si="22"/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183">
        <f t="shared" si="23"/>
        <v>0</v>
      </c>
      <c r="AD102" s="29">
        <v>0</v>
      </c>
      <c r="AE102" s="29">
        <v>0</v>
      </c>
      <c r="AF102" s="29">
        <v>0</v>
      </c>
      <c r="AG102" s="29">
        <v>0</v>
      </c>
      <c r="AH102" s="183">
        <f t="shared" si="24"/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183">
        <f t="shared" si="25"/>
        <v>0</v>
      </c>
      <c r="AS102" s="183">
        <f t="shared" si="26"/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183">
        <f t="shared" si="27"/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0</v>
      </c>
      <c r="BJ102" s="183">
        <f t="shared" si="28"/>
        <v>0</v>
      </c>
      <c r="BK102" s="183">
        <f t="shared" si="29"/>
        <v>0</v>
      </c>
      <c r="BL102" s="183">
        <f>$BO$9+SUMPRODUCT($D$10:D102,$BK$10:BK102)</f>
        <v>1415140212.4136899</v>
      </c>
      <c r="BM102" s="30">
        <f t="shared" si="30"/>
        <v>4.3</v>
      </c>
      <c r="BN102" s="183">
        <f t="shared" si="33"/>
        <v>2927118470.4661698</v>
      </c>
      <c r="BO102" s="184">
        <f t="shared" si="31"/>
        <v>70999641039.446793</v>
      </c>
      <c r="BP102" s="41">
        <f t="shared" si="34"/>
        <v>0</v>
      </c>
      <c r="BQ102" s="41">
        <f t="shared" si="35"/>
        <v>0</v>
      </c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x14ac:dyDescent="0.25">
      <c r="A103" s="185">
        <f t="shared" si="37"/>
        <v>94</v>
      </c>
      <c r="B103" s="186">
        <f t="shared" si="37"/>
        <v>2113</v>
      </c>
      <c r="C103" s="29">
        <v>4.3</v>
      </c>
      <c r="D103" s="183">
        <f t="shared" si="36"/>
        <v>1.9120000000000002E-2</v>
      </c>
      <c r="E103" s="29">
        <v>0</v>
      </c>
      <c r="F103" s="183">
        <f t="shared" si="18"/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183">
        <f t="shared" si="21"/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183">
        <f t="shared" si="22"/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183">
        <f t="shared" si="23"/>
        <v>0</v>
      </c>
      <c r="AD103" s="29">
        <v>0</v>
      </c>
      <c r="AE103" s="29">
        <v>0</v>
      </c>
      <c r="AF103" s="29">
        <v>0</v>
      </c>
      <c r="AG103" s="29">
        <v>0</v>
      </c>
      <c r="AH103" s="183">
        <f t="shared" si="24"/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183">
        <f t="shared" si="25"/>
        <v>0</v>
      </c>
      <c r="AS103" s="183">
        <f t="shared" si="26"/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183">
        <f t="shared" si="27"/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0</v>
      </c>
      <c r="BJ103" s="183">
        <f t="shared" si="28"/>
        <v>0</v>
      </c>
      <c r="BK103" s="183">
        <f t="shared" si="29"/>
        <v>0</v>
      </c>
      <c r="BL103" s="183">
        <f>$BO$9+SUMPRODUCT($D$10:D103,$BK$10:BK103)</f>
        <v>1415140212.4136899</v>
      </c>
      <c r="BM103" s="30">
        <f t="shared" si="30"/>
        <v>4.3</v>
      </c>
      <c r="BN103" s="183">
        <f t="shared" si="33"/>
        <v>3052984564.6962099</v>
      </c>
      <c r="BO103" s="184">
        <f t="shared" si="31"/>
        <v>74052625604.143005</v>
      </c>
      <c r="BP103" s="41">
        <f t="shared" si="34"/>
        <v>0</v>
      </c>
      <c r="BQ103" s="41">
        <f t="shared" si="35"/>
        <v>0</v>
      </c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x14ac:dyDescent="0.25">
      <c r="A104" s="185">
        <f t="shared" si="37"/>
        <v>95</v>
      </c>
      <c r="B104" s="186">
        <f t="shared" si="37"/>
        <v>2114</v>
      </c>
      <c r="C104" s="29">
        <v>4.3</v>
      </c>
      <c r="D104" s="183">
        <f t="shared" si="36"/>
        <v>1.8329999999999999E-2</v>
      </c>
      <c r="E104" s="29">
        <v>0</v>
      </c>
      <c r="F104" s="183">
        <f t="shared" si="18"/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183">
        <f t="shared" si="21"/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183">
        <f t="shared" si="22"/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183">
        <f t="shared" si="23"/>
        <v>0</v>
      </c>
      <c r="AD104" s="29">
        <v>0</v>
      </c>
      <c r="AE104" s="29">
        <v>0</v>
      </c>
      <c r="AF104" s="29">
        <v>0</v>
      </c>
      <c r="AG104" s="29">
        <v>0</v>
      </c>
      <c r="AH104" s="183">
        <f t="shared" si="24"/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183">
        <f t="shared" si="25"/>
        <v>0</v>
      </c>
      <c r="AS104" s="183">
        <f t="shared" si="26"/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183">
        <f t="shared" si="27"/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0</v>
      </c>
      <c r="BI104" s="29">
        <v>0</v>
      </c>
      <c r="BJ104" s="183">
        <f t="shared" si="28"/>
        <v>0</v>
      </c>
      <c r="BK104" s="183">
        <f t="shared" si="29"/>
        <v>0</v>
      </c>
      <c r="BL104" s="183">
        <f>$BO$9+SUMPRODUCT($D$10:D104,$BK$10:BK104)</f>
        <v>1415140212.4136899</v>
      </c>
      <c r="BM104" s="30">
        <f t="shared" si="30"/>
        <v>4.3</v>
      </c>
      <c r="BN104" s="183">
        <f t="shared" si="33"/>
        <v>3184262900.9781499</v>
      </c>
      <c r="BO104" s="184">
        <f t="shared" si="31"/>
        <v>77236888505.121201</v>
      </c>
      <c r="BP104" s="41">
        <f t="shared" si="34"/>
        <v>0</v>
      </c>
      <c r="BQ104" s="41">
        <f t="shared" si="35"/>
        <v>0</v>
      </c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x14ac:dyDescent="0.25">
      <c r="A105" s="185">
        <f t="shared" si="37"/>
        <v>96</v>
      </c>
      <c r="B105" s="186">
        <f t="shared" si="37"/>
        <v>2115</v>
      </c>
      <c r="C105" s="29">
        <v>4.3</v>
      </c>
      <c r="D105" s="183">
        <f t="shared" si="36"/>
        <v>1.7569999999999999E-2</v>
      </c>
      <c r="E105" s="29">
        <v>0</v>
      </c>
      <c r="F105" s="183">
        <f t="shared" si="18"/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183">
        <f t="shared" si="21"/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183">
        <f t="shared" si="22"/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183">
        <f t="shared" si="23"/>
        <v>0</v>
      </c>
      <c r="AD105" s="29">
        <v>0</v>
      </c>
      <c r="AE105" s="29">
        <v>0</v>
      </c>
      <c r="AF105" s="29">
        <v>0</v>
      </c>
      <c r="AG105" s="29">
        <v>0</v>
      </c>
      <c r="AH105" s="183">
        <f t="shared" si="24"/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183">
        <f t="shared" si="25"/>
        <v>0</v>
      </c>
      <c r="AS105" s="183">
        <f t="shared" si="26"/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183">
        <f t="shared" si="27"/>
        <v>0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  <c r="BH105" s="29">
        <v>0</v>
      </c>
      <c r="BI105" s="29">
        <v>0</v>
      </c>
      <c r="BJ105" s="183">
        <f t="shared" si="28"/>
        <v>0</v>
      </c>
      <c r="BK105" s="183">
        <f t="shared" si="29"/>
        <v>0</v>
      </c>
      <c r="BL105" s="183">
        <f>$BO$9+SUMPRODUCT($D$10:D105,$BK$10:BK105)</f>
        <v>1415140212.4136899</v>
      </c>
      <c r="BM105" s="30">
        <f t="shared" si="30"/>
        <v>4.3</v>
      </c>
      <c r="BN105" s="183">
        <f t="shared" si="33"/>
        <v>3321186205.7202101</v>
      </c>
      <c r="BO105" s="184">
        <f t="shared" si="31"/>
        <v>80558074710.8414</v>
      </c>
      <c r="BP105" s="41">
        <f t="shared" si="34"/>
        <v>0</v>
      </c>
      <c r="BQ105" s="41">
        <f t="shared" si="35"/>
        <v>0</v>
      </c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x14ac:dyDescent="0.25">
      <c r="A106" s="185">
        <f t="shared" si="37"/>
        <v>97</v>
      </c>
      <c r="B106" s="186">
        <f t="shared" si="37"/>
        <v>2116</v>
      </c>
      <c r="C106" s="29">
        <v>4.3</v>
      </c>
      <c r="D106" s="183">
        <f t="shared" si="36"/>
        <v>1.685E-2</v>
      </c>
      <c r="E106" s="29">
        <v>0</v>
      </c>
      <c r="F106" s="183">
        <f t="shared" ref="F106:F159" si="38">ROUND(SUM(G106:J106),5)</f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183">
        <f t="shared" si="21"/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183">
        <f t="shared" si="22"/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183">
        <f t="shared" si="23"/>
        <v>0</v>
      </c>
      <c r="AD106" s="29">
        <v>0</v>
      </c>
      <c r="AE106" s="29">
        <v>0</v>
      </c>
      <c r="AF106" s="29">
        <v>0</v>
      </c>
      <c r="AG106" s="29">
        <v>0</v>
      </c>
      <c r="AH106" s="183">
        <f t="shared" si="24"/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183">
        <f t="shared" si="25"/>
        <v>0</v>
      </c>
      <c r="AS106" s="183">
        <f t="shared" si="26"/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183">
        <f t="shared" si="27"/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0</v>
      </c>
      <c r="BI106" s="29">
        <v>0</v>
      </c>
      <c r="BJ106" s="183">
        <f t="shared" si="28"/>
        <v>0</v>
      </c>
      <c r="BK106" s="183">
        <f t="shared" si="29"/>
        <v>0</v>
      </c>
      <c r="BL106" s="183">
        <f>$BO$9+SUMPRODUCT($D$10:D106,$BK$10:BK106)</f>
        <v>1415140212.4136899</v>
      </c>
      <c r="BM106" s="30">
        <f t="shared" si="30"/>
        <v>4.3</v>
      </c>
      <c r="BN106" s="183">
        <f t="shared" si="33"/>
        <v>3463997212.5661802</v>
      </c>
      <c r="BO106" s="184">
        <f t="shared" si="31"/>
        <v>84022071923.407593</v>
      </c>
      <c r="BP106" s="41">
        <f t="shared" si="34"/>
        <v>0</v>
      </c>
      <c r="BQ106" s="41">
        <f t="shared" si="35"/>
        <v>0</v>
      </c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x14ac:dyDescent="0.25">
      <c r="A107" s="185">
        <f t="shared" ref="A107:B122" si="39">A106+1</f>
        <v>98</v>
      </c>
      <c r="B107" s="186">
        <f t="shared" si="39"/>
        <v>2117</v>
      </c>
      <c r="C107" s="29">
        <v>4.3</v>
      </c>
      <c r="D107" s="183">
        <f t="shared" si="36"/>
        <v>1.6160000000000001E-2</v>
      </c>
      <c r="E107" s="29">
        <v>0</v>
      </c>
      <c r="F107" s="183">
        <f t="shared" si="38"/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183">
        <f t="shared" si="21"/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183">
        <f t="shared" si="22"/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183">
        <f t="shared" si="23"/>
        <v>0</v>
      </c>
      <c r="AD107" s="29">
        <v>0</v>
      </c>
      <c r="AE107" s="29">
        <v>0</v>
      </c>
      <c r="AF107" s="29">
        <v>0</v>
      </c>
      <c r="AG107" s="29">
        <v>0</v>
      </c>
      <c r="AH107" s="183">
        <f t="shared" si="24"/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183">
        <f t="shared" si="25"/>
        <v>0</v>
      </c>
      <c r="AS107" s="183">
        <f t="shared" si="26"/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183">
        <f t="shared" si="27"/>
        <v>0</v>
      </c>
      <c r="BA107" s="29">
        <v>0</v>
      </c>
      <c r="BB107" s="29">
        <v>0</v>
      </c>
      <c r="BC107" s="29">
        <v>0</v>
      </c>
      <c r="BD107" s="29">
        <v>0</v>
      </c>
      <c r="BE107" s="29">
        <v>0</v>
      </c>
      <c r="BF107" s="29">
        <v>0</v>
      </c>
      <c r="BG107" s="29">
        <v>0</v>
      </c>
      <c r="BH107" s="29">
        <v>0</v>
      </c>
      <c r="BI107" s="29">
        <v>0</v>
      </c>
      <c r="BJ107" s="183">
        <f t="shared" si="28"/>
        <v>0</v>
      </c>
      <c r="BK107" s="183">
        <f t="shared" si="29"/>
        <v>0</v>
      </c>
      <c r="BL107" s="183">
        <f>$BO$9+SUMPRODUCT($D$10:D107,$BK$10:BK107)</f>
        <v>1415140212.4136899</v>
      </c>
      <c r="BM107" s="30">
        <f t="shared" si="30"/>
        <v>4.3</v>
      </c>
      <c r="BN107" s="183">
        <f t="shared" si="33"/>
        <v>3612949092.7065301</v>
      </c>
      <c r="BO107" s="184">
        <f t="shared" si="31"/>
        <v>87635021016.114105</v>
      </c>
      <c r="BP107" s="41">
        <f t="shared" si="34"/>
        <v>0</v>
      </c>
      <c r="BQ107" s="41">
        <f t="shared" si="35"/>
        <v>0</v>
      </c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x14ac:dyDescent="0.25">
      <c r="A108" s="185">
        <f t="shared" si="39"/>
        <v>99</v>
      </c>
      <c r="B108" s="186">
        <f t="shared" si="39"/>
        <v>2118</v>
      </c>
      <c r="C108" s="29">
        <v>4.3</v>
      </c>
      <c r="D108" s="183">
        <f t="shared" si="36"/>
        <v>1.549E-2</v>
      </c>
      <c r="E108" s="29">
        <v>0</v>
      </c>
      <c r="F108" s="183">
        <f t="shared" si="38"/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183">
        <f t="shared" si="21"/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183">
        <f t="shared" si="22"/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183">
        <f t="shared" si="23"/>
        <v>0</v>
      </c>
      <c r="AD108" s="29">
        <v>0</v>
      </c>
      <c r="AE108" s="29">
        <v>0</v>
      </c>
      <c r="AF108" s="29">
        <v>0</v>
      </c>
      <c r="AG108" s="29">
        <v>0</v>
      </c>
      <c r="AH108" s="183">
        <f t="shared" si="24"/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183">
        <f t="shared" si="25"/>
        <v>0</v>
      </c>
      <c r="AS108" s="183">
        <f t="shared" si="26"/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183">
        <f t="shared" si="27"/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183">
        <f t="shared" si="28"/>
        <v>0</v>
      </c>
      <c r="BK108" s="183">
        <f t="shared" si="29"/>
        <v>0</v>
      </c>
      <c r="BL108" s="183">
        <f>$BO$9+SUMPRODUCT($D$10:D108,$BK$10:BK108)</f>
        <v>1415140212.4136899</v>
      </c>
      <c r="BM108" s="30">
        <f t="shared" si="30"/>
        <v>4.3</v>
      </c>
      <c r="BN108" s="183">
        <f t="shared" si="33"/>
        <v>3768305903.6929102</v>
      </c>
      <c r="BO108" s="184">
        <f t="shared" si="31"/>
        <v>91403326919.807007</v>
      </c>
      <c r="BP108" s="41">
        <f t="shared" si="34"/>
        <v>0</v>
      </c>
      <c r="BQ108" s="41">
        <f t="shared" si="35"/>
        <v>0</v>
      </c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x14ac:dyDescent="0.25">
      <c r="A109" s="185">
        <f t="shared" si="39"/>
        <v>100</v>
      </c>
      <c r="B109" s="186">
        <f t="shared" si="39"/>
        <v>2119</v>
      </c>
      <c r="C109" s="29">
        <v>4.3</v>
      </c>
      <c r="D109" s="183">
        <f t="shared" si="36"/>
        <v>1.485E-2</v>
      </c>
      <c r="E109" s="29">
        <v>0</v>
      </c>
      <c r="F109" s="183">
        <f t="shared" si="38"/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183">
        <f t="shared" si="21"/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183">
        <f t="shared" si="22"/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183">
        <f t="shared" si="23"/>
        <v>0</v>
      </c>
      <c r="AD109" s="29">
        <v>0</v>
      </c>
      <c r="AE109" s="29">
        <v>0</v>
      </c>
      <c r="AF109" s="29">
        <v>0</v>
      </c>
      <c r="AG109" s="29">
        <v>0</v>
      </c>
      <c r="AH109" s="183">
        <f t="shared" si="24"/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183">
        <f t="shared" si="25"/>
        <v>0</v>
      </c>
      <c r="AS109" s="183">
        <f t="shared" si="26"/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183">
        <f t="shared" si="27"/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0</v>
      </c>
      <c r="BI109" s="29">
        <v>0</v>
      </c>
      <c r="BJ109" s="183">
        <f t="shared" si="28"/>
        <v>0</v>
      </c>
      <c r="BK109" s="183">
        <f t="shared" si="29"/>
        <v>0</v>
      </c>
      <c r="BL109" s="183">
        <f>$BO$9+SUMPRODUCT($D$10:D109,$BK$10:BK109)</f>
        <v>1415140212.4136899</v>
      </c>
      <c r="BM109" s="30">
        <f t="shared" si="30"/>
        <v>4.3</v>
      </c>
      <c r="BN109" s="183">
        <f t="shared" si="33"/>
        <v>3930343057.5517001</v>
      </c>
      <c r="BO109" s="184">
        <f t="shared" si="31"/>
        <v>95333669977.358704</v>
      </c>
      <c r="BP109" s="41">
        <f t="shared" si="34"/>
        <v>0</v>
      </c>
      <c r="BQ109" s="41">
        <f t="shared" si="35"/>
        <v>0</v>
      </c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x14ac:dyDescent="0.25">
      <c r="A110" s="185">
        <f t="shared" si="39"/>
        <v>101</v>
      </c>
      <c r="B110" s="186">
        <f t="shared" si="39"/>
        <v>2120</v>
      </c>
      <c r="C110" s="29">
        <v>4.3</v>
      </c>
      <c r="D110" s="183">
        <f t="shared" si="36"/>
        <v>1.4239999999999999E-2</v>
      </c>
      <c r="E110" s="29">
        <v>0</v>
      </c>
      <c r="F110" s="183">
        <f t="shared" si="38"/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183">
        <f t="shared" si="21"/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183">
        <f t="shared" si="22"/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183">
        <f t="shared" si="23"/>
        <v>0</v>
      </c>
      <c r="AD110" s="29">
        <v>0</v>
      </c>
      <c r="AE110" s="29">
        <v>0</v>
      </c>
      <c r="AF110" s="29">
        <v>0</v>
      </c>
      <c r="AG110" s="29">
        <v>0</v>
      </c>
      <c r="AH110" s="183">
        <f t="shared" si="24"/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183">
        <f t="shared" si="25"/>
        <v>0</v>
      </c>
      <c r="AS110" s="183">
        <f t="shared" si="26"/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183">
        <f t="shared" si="27"/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0</v>
      </c>
      <c r="BI110" s="29">
        <v>0</v>
      </c>
      <c r="BJ110" s="183">
        <f t="shared" si="28"/>
        <v>0</v>
      </c>
      <c r="BK110" s="183">
        <f t="shared" si="29"/>
        <v>0</v>
      </c>
      <c r="BL110" s="183">
        <f>$BO$9+SUMPRODUCT($D$10:D110,$BK$10:BK110)</f>
        <v>1415140212.4136899</v>
      </c>
      <c r="BM110" s="30">
        <f t="shared" si="30"/>
        <v>4.3</v>
      </c>
      <c r="BN110" s="183">
        <f t="shared" si="33"/>
        <v>4099347809.0264201</v>
      </c>
      <c r="BO110" s="184">
        <f t="shared" si="31"/>
        <v>99433017786.385101</v>
      </c>
      <c r="BP110" s="41">
        <f t="shared" si="34"/>
        <v>0</v>
      </c>
      <c r="BQ110" s="41">
        <f t="shared" si="35"/>
        <v>0</v>
      </c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x14ac:dyDescent="0.25">
      <c r="A111" s="185">
        <f t="shared" si="39"/>
        <v>102</v>
      </c>
      <c r="B111" s="186">
        <f t="shared" si="39"/>
        <v>2121</v>
      </c>
      <c r="C111" s="29">
        <v>4.3</v>
      </c>
      <c r="D111" s="183">
        <f t="shared" si="36"/>
        <v>1.3650000000000001E-2</v>
      </c>
      <c r="E111" s="29">
        <v>0</v>
      </c>
      <c r="F111" s="183">
        <f t="shared" si="38"/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183">
        <f t="shared" si="21"/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183">
        <f t="shared" si="22"/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183">
        <f t="shared" si="23"/>
        <v>0</v>
      </c>
      <c r="AD111" s="29">
        <v>0</v>
      </c>
      <c r="AE111" s="29">
        <v>0</v>
      </c>
      <c r="AF111" s="29">
        <v>0</v>
      </c>
      <c r="AG111" s="29">
        <v>0</v>
      </c>
      <c r="AH111" s="183">
        <f t="shared" si="24"/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183">
        <f t="shared" si="25"/>
        <v>0</v>
      </c>
      <c r="AS111" s="183">
        <f t="shared" si="26"/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183">
        <f t="shared" si="27"/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0</v>
      </c>
      <c r="BJ111" s="183">
        <f t="shared" si="28"/>
        <v>0</v>
      </c>
      <c r="BK111" s="183">
        <f t="shared" si="29"/>
        <v>0</v>
      </c>
      <c r="BL111" s="183">
        <f>$BO$9+SUMPRODUCT($D$10:D111,$BK$10:BK111)</f>
        <v>1415140212.4136899</v>
      </c>
      <c r="BM111" s="30">
        <f t="shared" si="30"/>
        <v>4.3</v>
      </c>
      <c r="BN111" s="183">
        <f t="shared" si="33"/>
        <v>4275619764.8145599</v>
      </c>
      <c r="BO111" s="184">
        <f t="shared" si="31"/>
        <v>103708637551.2</v>
      </c>
      <c r="BP111" s="41">
        <f t="shared" si="34"/>
        <v>0</v>
      </c>
      <c r="BQ111" s="41">
        <f t="shared" si="35"/>
        <v>0</v>
      </c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x14ac:dyDescent="0.25">
      <c r="A112" s="185">
        <f t="shared" si="39"/>
        <v>103</v>
      </c>
      <c r="B112" s="186">
        <f t="shared" si="39"/>
        <v>2122</v>
      </c>
      <c r="C112" s="29">
        <v>4.3</v>
      </c>
      <c r="D112" s="183">
        <f t="shared" si="36"/>
        <v>1.3089999999999999E-2</v>
      </c>
      <c r="E112" s="29">
        <v>0</v>
      </c>
      <c r="F112" s="183">
        <f t="shared" si="38"/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183">
        <f t="shared" si="21"/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183">
        <f t="shared" si="22"/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183">
        <f t="shared" si="23"/>
        <v>0</v>
      </c>
      <c r="AD112" s="29">
        <v>0</v>
      </c>
      <c r="AE112" s="29">
        <v>0</v>
      </c>
      <c r="AF112" s="29">
        <v>0</v>
      </c>
      <c r="AG112" s="29">
        <v>0</v>
      </c>
      <c r="AH112" s="183">
        <f t="shared" si="24"/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183">
        <f t="shared" si="25"/>
        <v>0</v>
      </c>
      <c r="AS112" s="183">
        <f t="shared" si="26"/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183">
        <f t="shared" si="27"/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183">
        <f t="shared" si="28"/>
        <v>0</v>
      </c>
      <c r="BK112" s="183">
        <f t="shared" si="29"/>
        <v>0</v>
      </c>
      <c r="BL112" s="183">
        <f>$BO$9+SUMPRODUCT($D$10:D112,$BK$10:BK112)</f>
        <v>1415140212.4136899</v>
      </c>
      <c r="BM112" s="30">
        <f t="shared" si="30"/>
        <v>4.3</v>
      </c>
      <c r="BN112" s="183">
        <f t="shared" si="33"/>
        <v>4459471414.7016001</v>
      </c>
      <c r="BO112" s="184">
        <f t="shared" si="31"/>
        <v>108168108965.90199</v>
      </c>
      <c r="BP112" s="41">
        <f t="shared" si="34"/>
        <v>0</v>
      </c>
      <c r="BQ112" s="41">
        <f t="shared" si="35"/>
        <v>0</v>
      </c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x14ac:dyDescent="0.25">
      <c r="A113" s="185">
        <f t="shared" si="39"/>
        <v>104</v>
      </c>
      <c r="B113" s="186">
        <f t="shared" si="39"/>
        <v>2123</v>
      </c>
      <c r="C113" s="29">
        <v>4.3</v>
      </c>
      <c r="D113" s="183">
        <f t="shared" si="36"/>
        <v>1.255E-2</v>
      </c>
      <c r="E113" s="29">
        <v>0</v>
      </c>
      <c r="F113" s="183">
        <f t="shared" si="38"/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183">
        <f t="shared" si="21"/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183">
        <f t="shared" si="22"/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183">
        <f t="shared" si="23"/>
        <v>0</v>
      </c>
      <c r="AD113" s="29">
        <v>0</v>
      </c>
      <c r="AE113" s="29">
        <v>0</v>
      </c>
      <c r="AF113" s="29">
        <v>0</v>
      </c>
      <c r="AG113" s="29">
        <v>0</v>
      </c>
      <c r="AH113" s="183">
        <f t="shared" si="24"/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183">
        <f t="shared" si="25"/>
        <v>0</v>
      </c>
      <c r="AS113" s="183">
        <f t="shared" si="26"/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183">
        <f t="shared" si="27"/>
        <v>0</v>
      </c>
      <c r="BA113" s="29">
        <v>0</v>
      </c>
      <c r="BB113" s="29">
        <v>0</v>
      </c>
      <c r="BC113" s="29">
        <v>0</v>
      </c>
      <c r="BD113" s="29">
        <v>0</v>
      </c>
      <c r="BE113" s="29">
        <v>0</v>
      </c>
      <c r="BF113" s="29">
        <v>0</v>
      </c>
      <c r="BG113" s="29">
        <v>0</v>
      </c>
      <c r="BH113" s="29">
        <v>0</v>
      </c>
      <c r="BI113" s="29">
        <v>0</v>
      </c>
      <c r="BJ113" s="183">
        <f t="shared" si="28"/>
        <v>0</v>
      </c>
      <c r="BK113" s="183">
        <f t="shared" si="29"/>
        <v>0</v>
      </c>
      <c r="BL113" s="183">
        <f>$BO$9+SUMPRODUCT($D$10:D113,$BK$10:BK113)</f>
        <v>1415140212.4136899</v>
      </c>
      <c r="BM113" s="30">
        <f t="shared" si="30"/>
        <v>4.3</v>
      </c>
      <c r="BN113" s="183">
        <f t="shared" si="33"/>
        <v>4651228685.5337801</v>
      </c>
      <c r="BO113" s="184">
        <f t="shared" si="31"/>
        <v>112819337651.436</v>
      </c>
      <c r="BP113" s="41">
        <f t="shared" si="34"/>
        <v>0</v>
      </c>
      <c r="BQ113" s="41">
        <f t="shared" si="35"/>
        <v>0</v>
      </c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x14ac:dyDescent="0.25">
      <c r="A114" s="185">
        <f t="shared" si="39"/>
        <v>105</v>
      </c>
      <c r="B114" s="186">
        <f t="shared" si="39"/>
        <v>2124</v>
      </c>
      <c r="C114" s="29">
        <v>4.3</v>
      </c>
      <c r="D114" s="183">
        <f t="shared" si="36"/>
        <v>1.2030000000000001E-2</v>
      </c>
      <c r="E114" s="29">
        <v>0</v>
      </c>
      <c r="F114" s="183">
        <f t="shared" si="38"/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183">
        <f t="shared" si="21"/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183">
        <f t="shared" si="22"/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183">
        <f t="shared" si="23"/>
        <v>0</v>
      </c>
      <c r="AD114" s="29">
        <v>0</v>
      </c>
      <c r="AE114" s="29">
        <v>0</v>
      </c>
      <c r="AF114" s="29">
        <v>0</v>
      </c>
      <c r="AG114" s="29">
        <v>0</v>
      </c>
      <c r="AH114" s="183">
        <f t="shared" si="24"/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183">
        <f t="shared" si="25"/>
        <v>0</v>
      </c>
      <c r="AS114" s="183">
        <f t="shared" si="26"/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183">
        <f t="shared" si="27"/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0</v>
      </c>
      <c r="BI114" s="29">
        <v>0</v>
      </c>
      <c r="BJ114" s="183">
        <f t="shared" si="28"/>
        <v>0</v>
      </c>
      <c r="BK114" s="183">
        <f t="shared" si="29"/>
        <v>0</v>
      </c>
      <c r="BL114" s="183">
        <f>$BO$9+SUMPRODUCT($D$10:D114,$BK$10:BK114)</f>
        <v>1415140212.4136899</v>
      </c>
      <c r="BM114" s="30">
        <f t="shared" si="30"/>
        <v>4.3</v>
      </c>
      <c r="BN114" s="183">
        <f t="shared" si="33"/>
        <v>4851231519.0117502</v>
      </c>
      <c r="BO114" s="184">
        <f t="shared" si="31"/>
        <v>117670569170.448</v>
      </c>
      <c r="BP114" s="41">
        <f t="shared" si="34"/>
        <v>0</v>
      </c>
      <c r="BQ114" s="41">
        <f t="shared" si="35"/>
        <v>0</v>
      </c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x14ac:dyDescent="0.25">
      <c r="A115" s="185">
        <f t="shared" si="39"/>
        <v>106</v>
      </c>
      <c r="B115" s="186">
        <f t="shared" si="39"/>
        <v>2125</v>
      </c>
      <c r="C115" s="29">
        <v>4.3</v>
      </c>
      <c r="D115" s="183">
        <f t="shared" si="36"/>
        <v>1.153E-2</v>
      </c>
      <c r="E115" s="29">
        <v>0</v>
      </c>
      <c r="F115" s="183">
        <f t="shared" si="38"/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183">
        <f t="shared" si="21"/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183">
        <f t="shared" si="22"/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183">
        <f t="shared" si="23"/>
        <v>0</v>
      </c>
      <c r="AD115" s="29">
        <v>0</v>
      </c>
      <c r="AE115" s="29">
        <v>0</v>
      </c>
      <c r="AF115" s="29">
        <v>0</v>
      </c>
      <c r="AG115" s="29">
        <v>0</v>
      </c>
      <c r="AH115" s="183">
        <f t="shared" si="24"/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183">
        <f t="shared" si="25"/>
        <v>0</v>
      </c>
      <c r="AS115" s="183">
        <f t="shared" si="26"/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183">
        <f t="shared" si="27"/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0</v>
      </c>
      <c r="BF115" s="29">
        <v>0</v>
      </c>
      <c r="BG115" s="29">
        <v>0</v>
      </c>
      <c r="BH115" s="29">
        <v>0</v>
      </c>
      <c r="BI115" s="29">
        <v>0</v>
      </c>
      <c r="BJ115" s="183">
        <f t="shared" si="28"/>
        <v>0</v>
      </c>
      <c r="BK115" s="183">
        <f t="shared" si="29"/>
        <v>0</v>
      </c>
      <c r="BL115" s="183">
        <f>$BO$9+SUMPRODUCT($D$10:D115,$BK$10:BK115)</f>
        <v>1415140212.4136899</v>
      </c>
      <c r="BM115" s="30">
        <f t="shared" si="30"/>
        <v>4.3</v>
      </c>
      <c r="BN115" s="183">
        <f t="shared" si="33"/>
        <v>5059834474.3292599</v>
      </c>
      <c r="BO115" s="184">
        <f t="shared" si="31"/>
        <v>122730403644.77699</v>
      </c>
      <c r="BP115" s="41">
        <f t="shared" si="34"/>
        <v>0</v>
      </c>
      <c r="BQ115" s="41">
        <f t="shared" si="35"/>
        <v>0</v>
      </c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x14ac:dyDescent="0.25">
      <c r="A116" s="185">
        <f t="shared" si="39"/>
        <v>107</v>
      </c>
      <c r="B116" s="186">
        <f t="shared" si="39"/>
        <v>2126</v>
      </c>
      <c r="C116" s="29">
        <v>4.3</v>
      </c>
      <c r="D116" s="183">
        <f t="shared" si="36"/>
        <v>1.1050000000000001E-2</v>
      </c>
      <c r="E116" s="29">
        <v>0</v>
      </c>
      <c r="F116" s="183">
        <f t="shared" si="38"/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183">
        <f t="shared" si="21"/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183">
        <f t="shared" si="22"/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183">
        <f t="shared" si="23"/>
        <v>0</v>
      </c>
      <c r="AD116" s="29">
        <v>0</v>
      </c>
      <c r="AE116" s="29">
        <v>0</v>
      </c>
      <c r="AF116" s="29">
        <v>0</v>
      </c>
      <c r="AG116" s="29">
        <v>0</v>
      </c>
      <c r="AH116" s="183">
        <f t="shared" si="24"/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183">
        <f t="shared" si="25"/>
        <v>0</v>
      </c>
      <c r="AS116" s="183">
        <f t="shared" si="26"/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183">
        <f t="shared" si="27"/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0</v>
      </c>
      <c r="BI116" s="29">
        <v>0</v>
      </c>
      <c r="BJ116" s="183">
        <f t="shared" si="28"/>
        <v>0</v>
      </c>
      <c r="BK116" s="183">
        <f t="shared" si="29"/>
        <v>0</v>
      </c>
      <c r="BL116" s="183">
        <f>$BO$9+SUMPRODUCT($D$10:D116,$BK$10:BK116)</f>
        <v>1415140212.4136899</v>
      </c>
      <c r="BM116" s="30">
        <f t="shared" si="30"/>
        <v>4.3</v>
      </c>
      <c r="BN116" s="183">
        <f t="shared" si="33"/>
        <v>5277407356.7254105</v>
      </c>
      <c r="BO116" s="184">
        <f t="shared" si="31"/>
        <v>128007811001.502</v>
      </c>
      <c r="BP116" s="41">
        <f t="shared" si="34"/>
        <v>0</v>
      </c>
      <c r="BQ116" s="41">
        <f t="shared" si="35"/>
        <v>0</v>
      </c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x14ac:dyDescent="0.25">
      <c r="A117" s="185">
        <f t="shared" si="39"/>
        <v>108</v>
      </c>
      <c r="B117" s="186">
        <f t="shared" si="39"/>
        <v>2127</v>
      </c>
      <c r="C117" s="29">
        <v>4.3</v>
      </c>
      <c r="D117" s="183">
        <f t="shared" si="36"/>
        <v>1.059E-2</v>
      </c>
      <c r="E117" s="29">
        <v>0</v>
      </c>
      <c r="F117" s="183">
        <f t="shared" si="38"/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183">
        <f t="shared" si="21"/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183">
        <f t="shared" si="22"/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183">
        <f t="shared" si="23"/>
        <v>0</v>
      </c>
      <c r="AD117" s="29">
        <v>0</v>
      </c>
      <c r="AE117" s="29">
        <v>0</v>
      </c>
      <c r="AF117" s="29">
        <v>0</v>
      </c>
      <c r="AG117" s="29">
        <v>0</v>
      </c>
      <c r="AH117" s="183">
        <f t="shared" si="24"/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183">
        <f t="shared" si="25"/>
        <v>0</v>
      </c>
      <c r="AS117" s="183">
        <f t="shared" si="26"/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183">
        <f t="shared" si="27"/>
        <v>0</v>
      </c>
      <c r="BA117" s="29">
        <v>0</v>
      </c>
      <c r="BB117" s="29">
        <v>0</v>
      </c>
      <c r="BC117" s="29">
        <v>0</v>
      </c>
      <c r="BD117" s="29">
        <v>0</v>
      </c>
      <c r="BE117" s="29">
        <v>0</v>
      </c>
      <c r="BF117" s="29">
        <v>0</v>
      </c>
      <c r="BG117" s="29">
        <v>0</v>
      </c>
      <c r="BH117" s="29">
        <v>0</v>
      </c>
      <c r="BI117" s="29">
        <v>0</v>
      </c>
      <c r="BJ117" s="183">
        <f t="shared" si="28"/>
        <v>0</v>
      </c>
      <c r="BK117" s="183">
        <f t="shared" si="29"/>
        <v>0</v>
      </c>
      <c r="BL117" s="183">
        <f>$BO$9+SUMPRODUCT($D$10:D117,$BK$10:BK117)</f>
        <v>1415140212.4136899</v>
      </c>
      <c r="BM117" s="30">
        <f t="shared" si="30"/>
        <v>4.3</v>
      </c>
      <c r="BN117" s="183">
        <f t="shared" si="33"/>
        <v>5504335873.0645905</v>
      </c>
      <c r="BO117" s="184">
        <f t="shared" si="31"/>
        <v>133512146874.567</v>
      </c>
      <c r="BP117" s="41">
        <f t="shared" si="34"/>
        <v>0</v>
      </c>
      <c r="BQ117" s="41">
        <f t="shared" si="35"/>
        <v>0</v>
      </c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x14ac:dyDescent="0.25">
      <c r="A118" s="185">
        <f t="shared" si="39"/>
        <v>109</v>
      </c>
      <c r="B118" s="186">
        <f t="shared" si="39"/>
        <v>2128</v>
      </c>
      <c r="C118" s="29">
        <v>4.3</v>
      </c>
      <c r="D118" s="183">
        <f t="shared" si="36"/>
        <v>1.0149999999999999E-2</v>
      </c>
      <c r="E118" s="29">
        <v>0</v>
      </c>
      <c r="F118" s="183">
        <f t="shared" si="38"/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183">
        <f t="shared" si="21"/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183">
        <f t="shared" si="22"/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183">
        <f t="shared" si="23"/>
        <v>0</v>
      </c>
      <c r="AD118" s="29">
        <v>0</v>
      </c>
      <c r="AE118" s="29">
        <v>0</v>
      </c>
      <c r="AF118" s="29">
        <v>0</v>
      </c>
      <c r="AG118" s="29">
        <v>0</v>
      </c>
      <c r="AH118" s="183">
        <f t="shared" si="24"/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183">
        <f t="shared" si="25"/>
        <v>0</v>
      </c>
      <c r="AS118" s="183">
        <f t="shared" si="26"/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183">
        <f t="shared" si="27"/>
        <v>0</v>
      </c>
      <c r="BA118" s="29">
        <v>0</v>
      </c>
      <c r="BB118" s="29">
        <v>0</v>
      </c>
      <c r="BC118" s="29">
        <v>0</v>
      </c>
      <c r="BD118" s="29">
        <v>0</v>
      </c>
      <c r="BE118" s="29">
        <v>0</v>
      </c>
      <c r="BF118" s="29">
        <v>0</v>
      </c>
      <c r="BG118" s="29">
        <v>0</v>
      </c>
      <c r="BH118" s="29">
        <v>0</v>
      </c>
      <c r="BI118" s="29">
        <v>0</v>
      </c>
      <c r="BJ118" s="183">
        <f t="shared" si="28"/>
        <v>0</v>
      </c>
      <c r="BK118" s="183">
        <f t="shared" si="29"/>
        <v>0</v>
      </c>
      <c r="BL118" s="183">
        <f>$BO$9+SUMPRODUCT($D$10:D118,$BK$10:BK118)</f>
        <v>1415140212.4136899</v>
      </c>
      <c r="BM118" s="30">
        <f t="shared" si="30"/>
        <v>4.3</v>
      </c>
      <c r="BN118" s="183">
        <f t="shared" si="33"/>
        <v>5741022315.6063805</v>
      </c>
      <c r="BO118" s="184">
        <f t="shared" si="31"/>
        <v>139253169190.173</v>
      </c>
      <c r="BP118" s="41">
        <f t="shared" si="34"/>
        <v>0</v>
      </c>
      <c r="BQ118" s="41">
        <f t="shared" si="35"/>
        <v>0</v>
      </c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x14ac:dyDescent="0.25">
      <c r="A119" s="185">
        <f t="shared" si="39"/>
        <v>110</v>
      </c>
      <c r="B119" s="186">
        <f t="shared" si="39"/>
        <v>2129</v>
      </c>
      <c r="C119" s="29">
        <v>4.3</v>
      </c>
      <c r="D119" s="183">
        <f t="shared" si="36"/>
        <v>9.7300000000000008E-3</v>
      </c>
      <c r="E119" s="29">
        <v>0</v>
      </c>
      <c r="F119" s="183">
        <f t="shared" si="38"/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183">
        <f t="shared" si="21"/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183">
        <f t="shared" si="22"/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183">
        <f t="shared" si="23"/>
        <v>0</v>
      </c>
      <c r="AD119" s="29">
        <v>0</v>
      </c>
      <c r="AE119" s="29">
        <v>0</v>
      </c>
      <c r="AF119" s="29">
        <v>0</v>
      </c>
      <c r="AG119" s="29">
        <v>0</v>
      </c>
      <c r="AH119" s="183">
        <f t="shared" si="24"/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183">
        <f t="shared" si="25"/>
        <v>0</v>
      </c>
      <c r="AS119" s="183">
        <f t="shared" si="26"/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183">
        <f t="shared" si="27"/>
        <v>0</v>
      </c>
      <c r="BA119" s="29">
        <v>0</v>
      </c>
      <c r="BB119" s="29">
        <v>0</v>
      </c>
      <c r="BC119" s="29">
        <v>0</v>
      </c>
      <c r="BD119" s="29">
        <v>0</v>
      </c>
      <c r="BE119" s="29">
        <v>0</v>
      </c>
      <c r="BF119" s="29">
        <v>0</v>
      </c>
      <c r="BG119" s="29">
        <v>0</v>
      </c>
      <c r="BH119" s="29">
        <v>0</v>
      </c>
      <c r="BI119" s="29">
        <v>0</v>
      </c>
      <c r="BJ119" s="183">
        <f t="shared" si="28"/>
        <v>0</v>
      </c>
      <c r="BK119" s="183">
        <f t="shared" si="29"/>
        <v>0</v>
      </c>
      <c r="BL119" s="183">
        <f>$BO$9+SUMPRODUCT($D$10:D119,$BK$10:BK119)</f>
        <v>1415140212.4136899</v>
      </c>
      <c r="BM119" s="30">
        <f t="shared" si="30"/>
        <v>4.3</v>
      </c>
      <c r="BN119" s="183">
        <f t="shared" si="33"/>
        <v>5987886275.1774397</v>
      </c>
      <c r="BO119" s="184">
        <f t="shared" si="31"/>
        <v>145241055465.35001</v>
      </c>
      <c r="BP119" s="41">
        <f t="shared" si="34"/>
        <v>0</v>
      </c>
      <c r="BQ119" s="41">
        <f t="shared" si="35"/>
        <v>0</v>
      </c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25">
      <c r="A120" s="185">
        <f t="shared" si="39"/>
        <v>111</v>
      </c>
      <c r="B120" s="186">
        <f t="shared" si="39"/>
        <v>2130</v>
      </c>
      <c r="C120" s="29">
        <v>4.3</v>
      </c>
      <c r="D120" s="183">
        <f t="shared" si="36"/>
        <v>9.3299999999999998E-3</v>
      </c>
      <c r="E120" s="29">
        <v>0</v>
      </c>
      <c r="F120" s="183">
        <f t="shared" si="38"/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183">
        <f t="shared" si="21"/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183">
        <f t="shared" si="22"/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183">
        <f t="shared" si="23"/>
        <v>0</v>
      </c>
      <c r="AD120" s="29">
        <v>0</v>
      </c>
      <c r="AE120" s="29">
        <v>0</v>
      </c>
      <c r="AF120" s="29">
        <v>0</v>
      </c>
      <c r="AG120" s="29">
        <v>0</v>
      </c>
      <c r="AH120" s="183">
        <f t="shared" si="24"/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183">
        <f t="shared" si="25"/>
        <v>0</v>
      </c>
      <c r="AS120" s="183">
        <f t="shared" si="26"/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183">
        <f t="shared" si="27"/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183">
        <f t="shared" si="28"/>
        <v>0</v>
      </c>
      <c r="BK120" s="183">
        <f t="shared" si="29"/>
        <v>0</v>
      </c>
      <c r="BL120" s="183">
        <f>$BO$9+SUMPRODUCT($D$10:D120,$BK$10:BK120)</f>
        <v>1415140212.4136899</v>
      </c>
      <c r="BM120" s="30">
        <f t="shared" si="30"/>
        <v>4.3</v>
      </c>
      <c r="BN120" s="183">
        <f t="shared" si="33"/>
        <v>6245365385.0100498</v>
      </c>
      <c r="BO120" s="184">
        <f t="shared" si="31"/>
        <v>151486420850.35999</v>
      </c>
      <c r="BP120" s="41">
        <f t="shared" si="34"/>
        <v>0</v>
      </c>
      <c r="BQ120" s="41">
        <f t="shared" si="35"/>
        <v>0</v>
      </c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x14ac:dyDescent="0.25">
      <c r="A121" s="185">
        <f t="shared" si="39"/>
        <v>112</v>
      </c>
      <c r="B121" s="186">
        <f t="shared" si="39"/>
        <v>2131</v>
      </c>
      <c r="C121" s="29">
        <v>4.3</v>
      </c>
      <c r="D121" s="183">
        <f t="shared" si="36"/>
        <v>8.9499999999999996E-3</v>
      </c>
      <c r="E121" s="29">
        <v>0</v>
      </c>
      <c r="F121" s="183">
        <f t="shared" si="38"/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183">
        <f t="shared" si="21"/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183">
        <f t="shared" si="22"/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183">
        <f t="shared" si="23"/>
        <v>0</v>
      </c>
      <c r="AD121" s="29">
        <v>0</v>
      </c>
      <c r="AE121" s="29">
        <v>0</v>
      </c>
      <c r="AF121" s="29">
        <v>0</v>
      </c>
      <c r="AG121" s="29">
        <v>0</v>
      </c>
      <c r="AH121" s="183">
        <f t="shared" si="24"/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183">
        <f t="shared" si="25"/>
        <v>0</v>
      </c>
      <c r="AS121" s="183">
        <f t="shared" si="26"/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183">
        <f t="shared" si="27"/>
        <v>0</v>
      </c>
      <c r="BA121" s="29">
        <v>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29">
        <v>0</v>
      </c>
      <c r="BH121" s="29">
        <v>0</v>
      </c>
      <c r="BI121" s="29">
        <v>0</v>
      </c>
      <c r="BJ121" s="183">
        <f t="shared" si="28"/>
        <v>0</v>
      </c>
      <c r="BK121" s="183">
        <f t="shared" si="29"/>
        <v>0</v>
      </c>
      <c r="BL121" s="183">
        <f>$BO$9+SUMPRODUCT($D$10:D121,$BK$10:BK121)</f>
        <v>1415140212.4136899</v>
      </c>
      <c r="BM121" s="30">
        <f t="shared" si="30"/>
        <v>4.3</v>
      </c>
      <c r="BN121" s="183">
        <f t="shared" si="33"/>
        <v>6513916096.5654802</v>
      </c>
      <c r="BO121" s="184">
        <f t="shared" si="31"/>
        <v>158000336946.92499</v>
      </c>
      <c r="BP121" s="41">
        <f t="shared" si="34"/>
        <v>0</v>
      </c>
      <c r="BQ121" s="41">
        <f t="shared" si="35"/>
        <v>0</v>
      </c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x14ac:dyDescent="0.25">
      <c r="A122" s="185">
        <f t="shared" si="39"/>
        <v>113</v>
      </c>
      <c r="B122" s="186">
        <f t="shared" si="39"/>
        <v>2132</v>
      </c>
      <c r="C122" s="29">
        <v>4.3</v>
      </c>
      <c r="D122" s="183">
        <f t="shared" si="36"/>
        <v>8.5800000000000008E-3</v>
      </c>
      <c r="E122" s="29">
        <v>0</v>
      </c>
      <c r="F122" s="183">
        <f t="shared" si="38"/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183">
        <f t="shared" si="21"/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183">
        <f t="shared" si="22"/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183">
        <f t="shared" si="23"/>
        <v>0</v>
      </c>
      <c r="AD122" s="29">
        <v>0</v>
      </c>
      <c r="AE122" s="29">
        <v>0</v>
      </c>
      <c r="AF122" s="29">
        <v>0</v>
      </c>
      <c r="AG122" s="29">
        <v>0</v>
      </c>
      <c r="AH122" s="183">
        <f t="shared" si="24"/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183">
        <f t="shared" si="25"/>
        <v>0</v>
      </c>
      <c r="AS122" s="183">
        <f t="shared" si="26"/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183">
        <f t="shared" si="27"/>
        <v>0</v>
      </c>
      <c r="BA122" s="29">
        <v>0</v>
      </c>
      <c r="BB122" s="29">
        <v>0</v>
      </c>
      <c r="BC122" s="29">
        <v>0</v>
      </c>
      <c r="BD122" s="29">
        <v>0</v>
      </c>
      <c r="BE122" s="29">
        <v>0</v>
      </c>
      <c r="BF122" s="29">
        <v>0</v>
      </c>
      <c r="BG122" s="29">
        <v>0</v>
      </c>
      <c r="BH122" s="29">
        <v>0</v>
      </c>
      <c r="BI122" s="29">
        <v>0</v>
      </c>
      <c r="BJ122" s="183">
        <f t="shared" si="28"/>
        <v>0</v>
      </c>
      <c r="BK122" s="183">
        <f t="shared" si="29"/>
        <v>0</v>
      </c>
      <c r="BL122" s="183">
        <f>$BO$9+SUMPRODUCT($D$10:D122,$BK$10:BK122)</f>
        <v>1415140212.4136899</v>
      </c>
      <c r="BM122" s="30">
        <f t="shared" si="30"/>
        <v>4.3</v>
      </c>
      <c r="BN122" s="183">
        <f t="shared" si="33"/>
        <v>6794014488.7177696</v>
      </c>
      <c r="BO122" s="184">
        <f t="shared" si="31"/>
        <v>164794351435.64301</v>
      </c>
      <c r="BP122" s="41">
        <f t="shared" si="34"/>
        <v>0</v>
      </c>
      <c r="BQ122" s="41">
        <f t="shared" si="35"/>
        <v>0</v>
      </c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x14ac:dyDescent="0.25">
      <c r="A123" s="185">
        <f t="shared" ref="A123:B138" si="40">A122+1</f>
        <v>114</v>
      </c>
      <c r="B123" s="186">
        <f t="shared" si="40"/>
        <v>2133</v>
      </c>
      <c r="C123" s="29">
        <v>4.3</v>
      </c>
      <c r="D123" s="183">
        <f t="shared" si="36"/>
        <v>8.2299999999999995E-3</v>
      </c>
      <c r="E123" s="29">
        <v>0</v>
      </c>
      <c r="F123" s="183">
        <f t="shared" si="38"/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183">
        <f t="shared" si="21"/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183">
        <f t="shared" si="22"/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183">
        <f t="shared" si="23"/>
        <v>0</v>
      </c>
      <c r="AD123" s="29">
        <v>0</v>
      </c>
      <c r="AE123" s="29">
        <v>0</v>
      </c>
      <c r="AF123" s="29">
        <v>0</v>
      </c>
      <c r="AG123" s="29">
        <v>0</v>
      </c>
      <c r="AH123" s="183">
        <f t="shared" si="24"/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183">
        <f t="shared" si="25"/>
        <v>0</v>
      </c>
      <c r="AS123" s="183">
        <f t="shared" si="26"/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183">
        <f t="shared" si="27"/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29">
        <v>0</v>
      </c>
      <c r="BH123" s="29">
        <v>0</v>
      </c>
      <c r="BI123" s="29">
        <v>0</v>
      </c>
      <c r="BJ123" s="183">
        <f t="shared" si="28"/>
        <v>0</v>
      </c>
      <c r="BK123" s="183">
        <f t="shared" si="29"/>
        <v>0</v>
      </c>
      <c r="BL123" s="183">
        <f>$BO$9+SUMPRODUCT($D$10:D123,$BK$10:BK123)</f>
        <v>1415140212.4136899</v>
      </c>
      <c r="BM123" s="30">
        <f t="shared" si="30"/>
        <v>4.3</v>
      </c>
      <c r="BN123" s="183">
        <f t="shared" si="33"/>
        <v>7086157111.7326498</v>
      </c>
      <c r="BO123" s="184">
        <f t="shared" si="31"/>
        <v>171880508547.37601</v>
      </c>
      <c r="BP123" s="41">
        <f t="shared" si="34"/>
        <v>0</v>
      </c>
      <c r="BQ123" s="41">
        <f t="shared" si="35"/>
        <v>0</v>
      </c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x14ac:dyDescent="0.25">
      <c r="A124" s="185">
        <f t="shared" si="40"/>
        <v>115</v>
      </c>
      <c r="B124" s="186">
        <f t="shared" si="40"/>
        <v>2134</v>
      </c>
      <c r="C124" s="29">
        <v>4.3</v>
      </c>
      <c r="D124" s="183">
        <f t="shared" si="36"/>
        <v>7.8899999999999994E-3</v>
      </c>
      <c r="E124" s="29">
        <v>0</v>
      </c>
      <c r="F124" s="183">
        <f t="shared" si="38"/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183">
        <f t="shared" si="21"/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183">
        <f t="shared" si="22"/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183">
        <f t="shared" si="23"/>
        <v>0</v>
      </c>
      <c r="AD124" s="29">
        <v>0</v>
      </c>
      <c r="AE124" s="29">
        <v>0</v>
      </c>
      <c r="AF124" s="29">
        <v>0</v>
      </c>
      <c r="AG124" s="29">
        <v>0</v>
      </c>
      <c r="AH124" s="183">
        <f t="shared" si="24"/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183">
        <f t="shared" si="25"/>
        <v>0</v>
      </c>
      <c r="AS124" s="183">
        <f t="shared" si="26"/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183">
        <f t="shared" si="27"/>
        <v>0</v>
      </c>
      <c r="BA124" s="29">
        <v>0</v>
      </c>
      <c r="BB124" s="29">
        <v>0</v>
      </c>
      <c r="BC124" s="29">
        <v>0</v>
      </c>
      <c r="BD124" s="29">
        <v>0</v>
      </c>
      <c r="BE124" s="29">
        <v>0</v>
      </c>
      <c r="BF124" s="29">
        <v>0</v>
      </c>
      <c r="BG124" s="29">
        <v>0</v>
      </c>
      <c r="BH124" s="29">
        <v>0</v>
      </c>
      <c r="BI124" s="29">
        <v>0</v>
      </c>
      <c r="BJ124" s="183">
        <f t="shared" si="28"/>
        <v>0</v>
      </c>
      <c r="BK124" s="183">
        <f t="shared" si="29"/>
        <v>0</v>
      </c>
      <c r="BL124" s="183">
        <f>$BO$9+SUMPRODUCT($D$10:D124,$BK$10:BK124)</f>
        <v>1415140212.4136899</v>
      </c>
      <c r="BM124" s="30">
        <f t="shared" si="30"/>
        <v>4.3</v>
      </c>
      <c r="BN124" s="183">
        <f t="shared" si="33"/>
        <v>7390861867.5371704</v>
      </c>
      <c r="BO124" s="184">
        <f t="shared" si="31"/>
        <v>179271370414.91299</v>
      </c>
      <c r="BP124" s="41">
        <f t="shared" si="34"/>
        <v>0</v>
      </c>
      <c r="BQ124" s="41">
        <f t="shared" si="35"/>
        <v>0</v>
      </c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x14ac:dyDescent="0.25">
      <c r="A125" s="185">
        <f t="shared" si="40"/>
        <v>116</v>
      </c>
      <c r="B125" s="186">
        <f t="shared" si="40"/>
        <v>2135</v>
      </c>
      <c r="C125" s="29">
        <v>4.3</v>
      </c>
      <c r="D125" s="183">
        <f t="shared" si="36"/>
        <v>7.5599999999999999E-3</v>
      </c>
      <c r="E125" s="29">
        <v>0</v>
      </c>
      <c r="F125" s="183">
        <f t="shared" si="38"/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183">
        <f t="shared" si="21"/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183">
        <f t="shared" si="22"/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183">
        <f t="shared" si="23"/>
        <v>0</v>
      </c>
      <c r="AD125" s="29">
        <v>0</v>
      </c>
      <c r="AE125" s="29">
        <v>0</v>
      </c>
      <c r="AF125" s="29">
        <v>0</v>
      </c>
      <c r="AG125" s="29">
        <v>0</v>
      </c>
      <c r="AH125" s="183">
        <f t="shared" si="24"/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183">
        <f t="shared" si="25"/>
        <v>0</v>
      </c>
      <c r="AS125" s="183">
        <f t="shared" si="26"/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183">
        <f t="shared" si="27"/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29">
        <v>0</v>
      </c>
      <c r="BH125" s="29">
        <v>0</v>
      </c>
      <c r="BI125" s="29">
        <v>0</v>
      </c>
      <c r="BJ125" s="183">
        <f t="shared" si="28"/>
        <v>0</v>
      </c>
      <c r="BK125" s="183">
        <f t="shared" si="29"/>
        <v>0</v>
      </c>
      <c r="BL125" s="183">
        <f>$BO$9+SUMPRODUCT($D$10:D125,$BK$10:BK125)</f>
        <v>1415140212.4136899</v>
      </c>
      <c r="BM125" s="30">
        <f t="shared" si="30"/>
        <v>4.3</v>
      </c>
      <c r="BN125" s="183">
        <f t="shared" si="33"/>
        <v>7708668927.84126</v>
      </c>
      <c r="BO125" s="184">
        <f t="shared" si="31"/>
        <v>186980039342.754</v>
      </c>
      <c r="BP125" s="41">
        <f t="shared" si="34"/>
        <v>0</v>
      </c>
      <c r="BQ125" s="41">
        <f t="shared" si="35"/>
        <v>0</v>
      </c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x14ac:dyDescent="0.25">
      <c r="A126" s="185">
        <f t="shared" si="40"/>
        <v>117</v>
      </c>
      <c r="B126" s="186">
        <f t="shared" si="40"/>
        <v>2136</v>
      </c>
      <c r="C126" s="29">
        <v>4.3</v>
      </c>
      <c r="D126" s="183">
        <f t="shared" si="36"/>
        <v>7.2500000000000004E-3</v>
      </c>
      <c r="E126" s="29">
        <v>0</v>
      </c>
      <c r="F126" s="183">
        <f t="shared" si="38"/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183">
        <f t="shared" si="21"/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183">
        <f t="shared" si="22"/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183">
        <f t="shared" si="23"/>
        <v>0</v>
      </c>
      <c r="AD126" s="29">
        <v>0</v>
      </c>
      <c r="AE126" s="29">
        <v>0</v>
      </c>
      <c r="AF126" s="29">
        <v>0</v>
      </c>
      <c r="AG126" s="29">
        <v>0</v>
      </c>
      <c r="AH126" s="183">
        <f t="shared" si="24"/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183">
        <f t="shared" si="25"/>
        <v>0</v>
      </c>
      <c r="AS126" s="183">
        <f t="shared" si="26"/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183">
        <f t="shared" si="27"/>
        <v>0</v>
      </c>
      <c r="BA126" s="29">
        <v>0</v>
      </c>
      <c r="BB126" s="29">
        <v>0</v>
      </c>
      <c r="BC126" s="29">
        <v>0</v>
      </c>
      <c r="BD126" s="29">
        <v>0</v>
      </c>
      <c r="BE126" s="29">
        <v>0</v>
      </c>
      <c r="BF126" s="29">
        <v>0</v>
      </c>
      <c r="BG126" s="29">
        <v>0</v>
      </c>
      <c r="BH126" s="29">
        <v>0</v>
      </c>
      <c r="BI126" s="29">
        <v>0</v>
      </c>
      <c r="BJ126" s="183">
        <f t="shared" si="28"/>
        <v>0</v>
      </c>
      <c r="BK126" s="183">
        <f t="shared" si="29"/>
        <v>0</v>
      </c>
      <c r="BL126" s="183">
        <f>$BO$9+SUMPRODUCT($D$10:D126,$BK$10:BK126)</f>
        <v>1415140212.4136899</v>
      </c>
      <c r="BM126" s="30">
        <f t="shared" si="30"/>
        <v>4.3</v>
      </c>
      <c r="BN126" s="183">
        <f t="shared" si="33"/>
        <v>8040141691.7384195</v>
      </c>
      <c r="BO126" s="184">
        <f t="shared" si="31"/>
        <v>195020181034.492</v>
      </c>
      <c r="BP126" s="41">
        <f t="shared" si="34"/>
        <v>0</v>
      </c>
      <c r="BQ126" s="41">
        <f t="shared" si="35"/>
        <v>0</v>
      </c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x14ac:dyDescent="0.25">
      <c r="A127" s="185">
        <f t="shared" si="40"/>
        <v>118</v>
      </c>
      <c r="B127" s="186">
        <f t="shared" si="40"/>
        <v>2137</v>
      </c>
      <c r="C127" s="29">
        <v>4.3</v>
      </c>
      <c r="D127" s="183">
        <f t="shared" si="36"/>
        <v>6.9499999999999996E-3</v>
      </c>
      <c r="E127" s="29">
        <v>0</v>
      </c>
      <c r="F127" s="183">
        <f t="shared" si="38"/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183">
        <f t="shared" si="21"/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183">
        <f t="shared" si="22"/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183">
        <f t="shared" si="23"/>
        <v>0</v>
      </c>
      <c r="AD127" s="29">
        <v>0</v>
      </c>
      <c r="AE127" s="29">
        <v>0</v>
      </c>
      <c r="AF127" s="29">
        <v>0</v>
      </c>
      <c r="AG127" s="29">
        <v>0</v>
      </c>
      <c r="AH127" s="183">
        <f t="shared" si="24"/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183">
        <f t="shared" si="25"/>
        <v>0</v>
      </c>
      <c r="AS127" s="183">
        <f t="shared" si="26"/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183">
        <f t="shared" si="27"/>
        <v>0</v>
      </c>
      <c r="BA127" s="29">
        <v>0</v>
      </c>
      <c r="BB127" s="29">
        <v>0</v>
      </c>
      <c r="BC127" s="29">
        <v>0</v>
      </c>
      <c r="BD127" s="29">
        <v>0</v>
      </c>
      <c r="BE127" s="29">
        <v>0</v>
      </c>
      <c r="BF127" s="29">
        <v>0</v>
      </c>
      <c r="BG127" s="29">
        <v>0</v>
      </c>
      <c r="BH127" s="29">
        <v>0</v>
      </c>
      <c r="BI127" s="29">
        <v>0</v>
      </c>
      <c r="BJ127" s="183">
        <f t="shared" si="28"/>
        <v>0</v>
      </c>
      <c r="BK127" s="183">
        <f t="shared" si="29"/>
        <v>0</v>
      </c>
      <c r="BL127" s="183">
        <f>$BO$9+SUMPRODUCT($D$10:D127,$BK$10:BK127)</f>
        <v>1415140212.4136899</v>
      </c>
      <c r="BM127" s="30">
        <f t="shared" si="30"/>
        <v>4.3</v>
      </c>
      <c r="BN127" s="183">
        <f t="shared" si="33"/>
        <v>8385867784.48316</v>
      </c>
      <c r="BO127" s="184">
        <f t="shared" si="31"/>
        <v>203406048818.97501</v>
      </c>
      <c r="BP127" s="41">
        <f t="shared" si="34"/>
        <v>0</v>
      </c>
      <c r="BQ127" s="41">
        <f t="shared" si="35"/>
        <v>0</v>
      </c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x14ac:dyDescent="0.25">
      <c r="A128" s="185">
        <f t="shared" si="40"/>
        <v>119</v>
      </c>
      <c r="B128" s="186">
        <f t="shared" si="40"/>
        <v>2138</v>
      </c>
      <c r="C128" s="29">
        <v>4.3</v>
      </c>
      <c r="D128" s="183">
        <f t="shared" si="36"/>
        <v>6.6600000000000001E-3</v>
      </c>
      <c r="E128" s="29">
        <v>0</v>
      </c>
      <c r="F128" s="183">
        <f t="shared" si="38"/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183">
        <f t="shared" si="21"/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183">
        <f t="shared" si="22"/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183">
        <f t="shared" si="23"/>
        <v>0</v>
      </c>
      <c r="AD128" s="29">
        <v>0</v>
      </c>
      <c r="AE128" s="29">
        <v>0</v>
      </c>
      <c r="AF128" s="29">
        <v>0</v>
      </c>
      <c r="AG128" s="29">
        <v>0</v>
      </c>
      <c r="AH128" s="183">
        <f t="shared" si="24"/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183">
        <f t="shared" si="25"/>
        <v>0</v>
      </c>
      <c r="AS128" s="183">
        <f t="shared" si="26"/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183">
        <f t="shared" si="27"/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  <c r="BH128" s="29">
        <v>0</v>
      </c>
      <c r="BI128" s="29">
        <v>0</v>
      </c>
      <c r="BJ128" s="183">
        <f t="shared" si="28"/>
        <v>0</v>
      </c>
      <c r="BK128" s="183">
        <f t="shared" si="29"/>
        <v>0</v>
      </c>
      <c r="BL128" s="183">
        <f>$BO$9+SUMPRODUCT($D$10:D128,$BK$10:BK128)</f>
        <v>1415140212.4136899</v>
      </c>
      <c r="BM128" s="30">
        <f t="shared" si="30"/>
        <v>4.3</v>
      </c>
      <c r="BN128" s="183">
        <f t="shared" si="33"/>
        <v>8746460099.2159309</v>
      </c>
      <c r="BO128" s="184">
        <f t="shared" si="31"/>
        <v>212152508918.19101</v>
      </c>
      <c r="BP128" s="41">
        <f t="shared" si="34"/>
        <v>0</v>
      </c>
      <c r="BQ128" s="41">
        <f t="shared" si="35"/>
        <v>0</v>
      </c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x14ac:dyDescent="0.25">
      <c r="A129" s="185">
        <f t="shared" si="40"/>
        <v>120</v>
      </c>
      <c r="B129" s="186">
        <f t="shared" si="40"/>
        <v>2139</v>
      </c>
      <c r="C129" s="29">
        <v>4.3</v>
      </c>
      <c r="D129" s="183">
        <f t="shared" si="36"/>
        <v>6.3899999999999998E-3</v>
      </c>
      <c r="E129" s="29">
        <v>0</v>
      </c>
      <c r="F129" s="183">
        <f t="shared" si="38"/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183">
        <f t="shared" si="21"/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183">
        <f t="shared" si="22"/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183">
        <f t="shared" si="23"/>
        <v>0</v>
      </c>
      <c r="AD129" s="29">
        <v>0</v>
      </c>
      <c r="AE129" s="29">
        <v>0</v>
      </c>
      <c r="AF129" s="29">
        <v>0</v>
      </c>
      <c r="AG129" s="29">
        <v>0</v>
      </c>
      <c r="AH129" s="183">
        <f t="shared" si="24"/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183">
        <f t="shared" si="25"/>
        <v>0</v>
      </c>
      <c r="AS129" s="183">
        <f t="shared" si="26"/>
        <v>0</v>
      </c>
      <c r="AT129" s="29"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183">
        <f t="shared" si="27"/>
        <v>0</v>
      </c>
      <c r="BA129" s="29">
        <v>0</v>
      </c>
      <c r="BB129" s="29">
        <v>0</v>
      </c>
      <c r="BC129" s="29">
        <v>0</v>
      </c>
      <c r="BD129" s="29">
        <v>0</v>
      </c>
      <c r="BE129" s="29">
        <v>0</v>
      </c>
      <c r="BF129" s="29">
        <v>0</v>
      </c>
      <c r="BG129" s="29">
        <v>0</v>
      </c>
      <c r="BH129" s="29">
        <v>0</v>
      </c>
      <c r="BI129" s="29">
        <v>0</v>
      </c>
      <c r="BJ129" s="183">
        <f t="shared" si="28"/>
        <v>0</v>
      </c>
      <c r="BK129" s="183">
        <f t="shared" si="29"/>
        <v>0</v>
      </c>
      <c r="BL129" s="183">
        <f>$BO$9+SUMPRODUCT($D$10:D129,$BK$10:BK129)</f>
        <v>1415140212.4136899</v>
      </c>
      <c r="BM129" s="30">
        <f t="shared" si="30"/>
        <v>4.3</v>
      </c>
      <c r="BN129" s="183">
        <f t="shared" si="33"/>
        <v>9122557883.4822102</v>
      </c>
      <c r="BO129" s="184">
        <f t="shared" si="31"/>
        <v>221275066801.673</v>
      </c>
      <c r="BP129" s="41">
        <f t="shared" si="34"/>
        <v>0</v>
      </c>
      <c r="BQ129" s="41">
        <f t="shared" si="35"/>
        <v>0</v>
      </c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x14ac:dyDescent="0.25">
      <c r="A130" s="185">
        <f t="shared" si="40"/>
        <v>121</v>
      </c>
      <c r="B130" s="186">
        <f t="shared" si="40"/>
        <v>2140</v>
      </c>
      <c r="C130" s="29">
        <v>4.3</v>
      </c>
      <c r="D130" s="183">
        <f t="shared" si="36"/>
        <v>6.13E-3</v>
      </c>
      <c r="E130" s="29">
        <v>0</v>
      </c>
      <c r="F130" s="183">
        <f t="shared" si="38"/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183">
        <f t="shared" si="21"/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183">
        <f t="shared" si="22"/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183">
        <f t="shared" si="23"/>
        <v>0</v>
      </c>
      <c r="AD130" s="29">
        <v>0</v>
      </c>
      <c r="AE130" s="29">
        <v>0</v>
      </c>
      <c r="AF130" s="29">
        <v>0</v>
      </c>
      <c r="AG130" s="29">
        <v>0</v>
      </c>
      <c r="AH130" s="183">
        <f t="shared" si="24"/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183">
        <f t="shared" si="25"/>
        <v>0</v>
      </c>
      <c r="AS130" s="183">
        <f t="shared" si="26"/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183">
        <f t="shared" si="27"/>
        <v>0</v>
      </c>
      <c r="BA130" s="29">
        <v>0</v>
      </c>
      <c r="BB130" s="29">
        <v>0</v>
      </c>
      <c r="BC130" s="29">
        <v>0</v>
      </c>
      <c r="BD130" s="29">
        <v>0</v>
      </c>
      <c r="BE130" s="29">
        <v>0</v>
      </c>
      <c r="BF130" s="29">
        <v>0</v>
      </c>
      <c r="BG130" s="29">
        <v>0</v>
      </c>
      <c r="BH130" s="29">
        <v>0</v>
      </c>
      <c r="BI130" s="29">
        <v>0</v>
      </c>
      <c r="BJ130" s="183">
        <f t="shared" si="28"/>
        <v>0</v>
      </c>
      <c r="BK130" s="183">
        <f t="shared" si="29"/>
        <v>0</v>
      </c>
      <c r="BL130" s="183">
        <f>$BO$9+SUMPRODUCT($D$10:D130,$BK$10:BK130)</f>
        <v>1415140212.4136899</v>
      </c>
      <c r="BM130" s="30">
        <f t="shared" si="30"/>
        <v>4.3</v>
      </c>
      <c r="BN130" s="183">
        <f t="shared" si="33"/>
        <v>9514827872.4719391</v>
      </c>
      <c r="BO130" s="184">
        <f t="shared" si="31"/>
        <v>230789894674.14499</v>
      </c>
      <c r="BP130" s="41">
        <f t="shared" si="34"/>
        <v>0</v>
      </c>
      <c r="BQ130" s="41">
        <f t="shared" si="35"/>
        <v>0</v>
      </c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x14ac:dyDescent="0.25">
      <c r="A131" s="185">
        <f t="shared" si="40"/>
        <v>122</v>
      </c>
      <c r="B131" s="186">
        <f t="shared" si="40"/>
        <v>2141</v>
      </c>
      <c r="C131" s="29">
        <v>4.3</v>
      </c>
      <c r="D131" s="183">
        <f t="shared" si="36"/>
        <v>5.8799999999999998E-3</v>
      </c>
      <c r="E131" s="29">
        <v>0</v>
      </c>
      <c r="F131" s="183">
        <f t="shared" si="38"/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183">
        <f t="shared" si="21"/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183">
        <f t="shared" si="22"/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183">
        <f t="shared" si="23"/>
        <v>0</v>
      </c>
      <c r="AD131" s="29">
        <v>0</v>
      </c>
      <c r="AE131" s="29">
        <v>0</v>
      </c>
      <c r="AF131" s="29">
        <v>0</v>
      </c>
      <c r="AG131" s="29">
        <v>0</v>
      </c>
      <c r="AH131" s="183">
        <f t="shared" si="24"/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183">
        <f t="shared" si="25"/>
        <v>0</v>
      </c>
      <c r="AS131" s="183">
        <f t="shared" si="26"/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183">
        <f t="shared" si="27"/>
        <v>0</v>
      </c>
      <c r="BA131" s="29">
        <v>0</v>
      </c>
      <c r="BB131" s="29">
        <v>0</v>
      </c>
      <c r="BC131" s="29">
        <v>0</v>
      </c>
      <c r="BD131" s="29">
        <v>0</v>
      </c>
      <c r="BE131" s="29">
        <v>0</v>
      </c>
      <c r="BF131" s="29">
        <v>0</v>
      </c>
      <c r="BG131" s="29">
        <v>0</v>
      </c>
      <c r="BH131" s="29">
        <v>0</v>
      </c>
      <c r="BI131" s="29">
        <v>0</v>
      </c>
      <c r="BJ131" s="183">
        <f t="shared" si="28"/>
        <v>0</v>
      </c>
      <c r="BK131" s="183">
        <f t="shared" si="29"/>
        <v>0</v>
      </c>
      <c r="BL131" s="183">
        <f>$BO$9+SUMPRODUCT($D$10:D131,$BK$10:BK131)</f>
        <v>1415140212.4136899</v>
      </c>
      <c r="BM131" s="30">
        <f t="shared" si="30"/>
        <v>4.3</v>
      </c>
      <c r="BN131" s="183">
        <f t="shared" si="33"/>
        <v>9923965470.9882298</v>
      </c>
      <c r="BO131" s="184">
        <f t="shared" si="31"/>
        <v>240713860145.133</v>
      </c>
      <c r="BP131" s="41">
        <f t="shared" si="34"/>
        <v>0</v>
      </c>
      <c r="BQ131" s="41">
        <f t="shared" si="35"/>
        <v>0</v>
      </c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x14ac:dyDescent="0.25">
      <c r="A132" s="185">
        <f t="shared" si="40"/>
        <v>123</v>
      </c>
      <c r="B132" s="186">
        <f t="shared" si="40"/>
        <v>2142</v>
      </c>
      <c r="C132" s="29">
        <v>4.3</v>
      </c>
      <c r="D132" s="183">
        <f t="shared" si="36"/>
        <v>5.64E-3</v>
      </c>
      <c r="E132" s="29">
        <v>0</v>
      </c>
      <c r="F132" s="183">
        <f t="shared" si="38"/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183">
        <f t="shared" si="21"/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183">
        <f t="shared" si="22"/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183">
        <f t="shared" si="23"/>
        <v>0</v>
      </c>
      <c r="AD132" s="29">
        <v>0</v>
      </c>
      <c r="AE132" s="29">
        <v>0</v>
      </c>
      <c r="AF132" s="29">
        <v>0</v>
      </c>
      <c r="AG132" s="29">
        <v>0</v>
      </c>
      <c r="AH132" s="183">
        <f t="shared" si="24"/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183">
        <f t="shared" si="25"/>
        <v>0</v>
      </c>
      <c r="AS132" s="183">
        <f t="shared" si="26"/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183">
        <f t="shared" si="27"/>
        <v>0</v>
      </c>
      <c r="BA132" s="29">
        <v>0</v>
      </c>
      <c r="BB132" s="29">
        <v>0</v>
      </c>
      <c r="BC132" s="29">
        <v>0</v>
      </c>
      <c r="BD132" s="29">
        <v>0</v>
      </c>
      <c r="BE132" s="29">
        <v>0</v>
      </c>
      <c r="BF132" s="29">
        <v>0</v>
      </c>
      <c r="BG132" s="29">
        <v>0</v>
      </c>
      <c r="BH132" s="29">
        <v>0</v>
      </c>
      <c r="BI132" s="29">
        <v>0</v>
      </c>
      <c r="BJ132" s="183">
        <f t="shared" si="28"/>
        <v>0</v>
      </c>
      <c r="BK132" s="183">
        <f t="shared" si="29"/>
        <v>0</v>
      </c>
      <c r="BL132" s="183">
        <f>$BO$9+SUMPRODUCT($D$10:D132,$BK$10:BK132)</f>
        <v>1415140212.4136899</v>
      </c>
      <c r="BM132" s="30">
        <f t="shared" si="30"/>
        <v>4.3</v>
      </c>
      <c r="BN132" s="183">
        <f t="shared" si="33"/>
        <v>10350695986.2407</v>
      </c>
      <c r="BO132" s="184">
        <f t="shared" si="31"/>
        <v>251064556131.37399</v>
      </c>
      <c r="BP132" s="41">
        <f t="shared" si="34"/>
        <v>0</v>
      </c>
      <c r="BQ132" s="41">
        <f t="shared" si="35"/>
        <v>0</v>
      </c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x14ac:dyDescent="0.25">
      <c r="A133" s="185">
        <f t="shared" si="40"/>
        <v>124</v>
      </c>
      <c r="B133" s="186">
        <f t="shared" si="40"/>
        <v>2143</v>
      </c>
      <c r="C133" s="29">
        <v>4.3</v>
      </c>
      <c r="D133" s="183">
        <f t="shared" si="36"/>
        <v>5.4099999999999999E-3</v>
      </c>
      <c r="E133" s="29">
        <v>0</v>
      </c>
      <c r="F133" s="183">
        <f t="shared" si="38"/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183">
        <f t="shared" si="21"/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183">
        <f t="shared" si="22"/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183">
        <f t="shared" si="23"/>
        <v>0</v>
      </c>
      <c r="AD133" s="29">
        <v>0</v>
      </c>
      <c r="AE133" s="29">
        <v>0</v>
      </c>
      <c r="AF133" s="29">
        <v>0</v>
      </c>
      <c r="AG133" s="29">
        <v>0</v>
      </c>
      <c r="AH133" s="183">
        <f t="shared" si="24"/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183">
        <f t="shared" si="25"/>
        <v>0</v>
      </c>
      <c r="AS133" s="183">
        <f t="shared" si="26"/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183">
        <f t="shared" si="27"/>
        <v>0</v>
      </c>
      <c r="BA133" s="29">
        <v>0</v>
      </c>
      <c r="BB133" s="29">
        <v>0</v>
      </c>
      <c r="BC133" s="29">
        <v>0</v>
      </c>
      <c r="BD133" s="29">
        <v>0</v>
      </c>
      <c r="BE133" s="29">
        <v>0</v>
      </c>
      <c r="BF133" s="29">
        <v>0</v>
      </c>
      <c r="BG133" s="29">
        <v>0</v>
      </c>
      <c r="BH133" s="29">
        <v>0</v>
      </c>
      <c r="BI133" s="29">
        <v>0</v>
      </c>
      <c r="BJ133" s="183">
        <f t="shared" si="28"/>
        <v>0</v>
      </c>
      <c r="BK133" s="183">
        <f t="shared" si="29"/>
        <v>0</v>
      </c>
      <c r="BL133" s="183">
        <f>$BO$9+SUMPRODUCT($D$10:D133,$BK$10:BK133)</f>
        <v>1415140212.4136899</v>
      </c>
      <c r="BM133" s="30">
        <f t="shared" si="30"/>
        <v>4.3</v>
      </c>
      <c r="BN133" s="183">
        <f t="shared" si="33"/>
        <v>10795775913.649099</v>
      </c>
      <c r="BO133" s="184">
        <f t="shared" si="31"/>
        <v>261860332045.02301</v>
      </c>
      <c r="BP133" s="41">
        <f t="shared" si="34"/>
        <v>0</v>
      </c>
      <c r="BQ133" s="41">
        <f t="shared" si="35"/>
        <v>0</v>
      </c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x14ac:dyDescent="0.25">
      <c r="A134" s="185">
        <f t="shared" si="40"/>
        <v>125</v>
      </c>
      <c r="B134" s="186">
        <f t="shared" si="40"/>
        <v>2144</v>
      </c>
      <c r="C134" s="29">
        <v>4.3</v>
      </c>
      <c r="D134" s="183">
        <f t="shared" si="36"/>
        <v>5.1900000000000002E-3</v>
      </c>
      <c r="E134" s="29">
        <v>0</v>
      </c>
      <c r="F134" s="183">
        <f t="shared" si="38"/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183">
        <f t="shared" si="21"/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183">
        <f t="shared" si="22"/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183">
        <f t="shared" si="23"/>
        <v>0</v>
      </c>
      <c r="AD134" s="29">
        <v>0</v>
      </c>
      <c r="AE134" s="29">
        <v>0</v>
      </c>
      <c r="AF134" s="29">
        <v>0</v>
      </c>
      <c r="AG134" s="29">
        <v>0</v>
      </c>
      <c r="AH134" s="183">
        <f t="shared" si="24"/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183">
        <f t="shared" si="25"/>
        <v>0</v>
      </c>
      <c r="AS134" s="183">
        <f t="shared" si="26"/>
        <v>0</v>
      </c>
      <c r="AT134" s="29">
        <v>0</v>
      </c>
      <c r="AU134" s="29">
        <v>0</v>
      </c>
      <c r="AV134" s="29">
        <v>0</v>
      </c>
      <c r="AW134" s="29">
        <v>0</v>
      </c>
      <c r="AX134" s="29">
        <v>0</v>
      </c>
      <c r="AY134" s="29">
        <v>0</v>
      </c>
      <c r="AZ134" s="183">
        <f t="shared" si="27"/>
        <v>0</v>
      </c>
      <c r="BA134" s="29">
        <v>0</v>
      </c>
      <c r="BB134" s="29">
        <v>0</v>
      </c>
      <c r="BC134" s="29">
        <v>0</v>
      </c>
      <c r="BD134" s="29">
        <v>0</v>
      </c>
      <c r="BE134" s="29">
        <v>0</v>
      </c>
      <c r="BF134" s="29">
        <v>0</v>
      </c>
      <c r="BG134" s="29">
        <v>0</v>
      </c>
      <c r="BH134" s="29">
        <v>0</v>
      </c>
      <c r="BI134" s="29">
        <v>0</v>
      </c>
      <c r="BJ134" s="183">
        <f t="shared" si="28"/>
        <v>0</v>
      </c>
      <c r="BK134" s="183">
        <f t="shared" si="29"/>
        <v>0</v>
      </c>
      <c r="BL134" s="183">
        <f>$BO$9+SUMPRODUCT($D$10:D134,$BK$10:BK134)</f>
        <v>1415140212.4136899</v>
      </c>
      <c r="BM134" s="30">
        <f t="shared" si="30"/>
        <v>4.3</v>
      </c>
      <c r="BN134" s="183">
        <f t="shared" si="33"/>
        <v>11259994277.936001</v>
      </c>
      <c r="BO134" s="184">
        <f t="shared" si="31"/>
        <v>273120326322.95901</v>
      </c>
      <c r="BP134" s="41">
        <f t="shared" si="34"/>
        <v>0</v>
      </c>
      <c r="BQ134" s="41">
        <f t="shared" si="35"/>
        <v>0</v>
      </c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x14ac:dyDescent="0.25">
      <c r="A135" s="185">
        <f t="shared" si="40"/>
        <v>126</v>
      </c>
      <c r="B135" s="186">
        <f t="shared" si="40"/>
        <v>2145</v>
      </c>
      <c r="C135" s="29">
        <v>4.3</v>
      </c>
      <c r="D135" s="183">
        <f t="shared" si="36"/>
        <v>4.9800000000000001E-3</v>
      </c>
      <c r="E135" s="29">
        <v>0</v>
      </c>
      <c r="F135" s="183">
        <f t="shared" si="38"/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183">
        <f t="shared" si="21"/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183">
        <f t="shared" si="22"/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183">
        <f t="shared" si="23"/>
        <v>0</v>
      </c>
      <c r="AD135" s="29">
        <v>0</v>
      </c>
      <c r="AE135" s="29">
        <v>0</v>
      </c>
      <c r="AF135" s="29">
        <v>0</v>
      </c>
      <c r="AG135" s="29">
        <v>0</v>
      </c>
      <c r="AH135" s="183">
        <f t="shared" si="24"/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183">
        <f t="shared" si="25"/>
        <v>0</v>
      </c>
      <c r="AS135" s="183">
        <f t="shared" si="26"/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183">
        <f t="shared" si="27"/>
        <v>0</v>
      </c>
      <c r="BA135" s="29">
        <v>0</v>
      </c>
      <c r="BB135" s="29">
        <v>0</v>
      </c>
      <c r="BC135" s="29">
        <v>0</v>
      </c>
      <c r="BD135" s="29">
        <v>0</v>
      </c>
      <c r="BE135" s="29">
        <v>0</v>
      </c>
      <c r="BF135" s="29">
        <v>0</v>
      </c>
      <c r="BG135" s="29">
        <v>0</v>
      </c>
      <c r="BH135" s="29">
        <v>0</v>
      </c>
      <c r="BI135" s="29">
        <v>0</v>
      </c>
      <c r="BJ135" s="183">
        <f t="shared" si="28"/>
        <v>0</v>
      </c>
      <c r="BK135" s="183">
        <f t="shared" si="29"/>
        <v>0</v>
      </c>
      <c r="BL135" s="183">
        <f>$BO$9+SUMPRODUCT($D$10:D135,$BK$10:BK135)</f>
        <v>1415140212.4136899</v>
      </c>
      <c r="BM135" s="30">
        <f t="shared" si="30"/>
        <v>4.3</v>
      </c>
      <c r="BN135" s="183">
        <f t="shared" si="33"/>
        <v>11744174031.887199</v>
      </c>
      <c r="BO135" s="184">
        <f t="shared" si="31"/>
        <v>284864500354.84601</v>
      </c>
      <c r="BP135" s="41">
        <f t="shared" si="34"/>
        <v>0</v>
      </c>
      <c r="BQ135" s="41">
        <f t="shared" si="35"/>
        <v>0</v>
      </c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x14ac:dyDescent="0.25">
      <c r="A136" s="185">
        <f t="shared" si="40"/>
        <v>127</v>
      </c>
      <c r="B136" s="186">
        <f t="shared" si="40"/>
        <v>2146</v>
      </c>
      <c r="C136" s="29">
        <v>4.3</v>
      </c>
      <c r="D136" s="183">
        <f t="shared" si="36"/>
        <v>4.7699999999999999E-3</v>
      </c>
      <c r="E136" s="29">
        <v>0</v>
      </c>
      <c r="F136" s="183">
        <f t="shared" si="38"/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183">
        <f t="shared" si="21"/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183">
        <f t="shared" si="22"/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183">
        <f t="shared" si="23"/>
        <v>0</v>
      </c>
      <c r="AD136" s="29">
        <v>0</v>
      </c>
      <c r="AE136" s="29">
        <v>0</v>
      </c>
      <c r="AF136" s="29">
        <v>0</v>
      </c>
      <c r="AG136" s="29">
        <v>0</v>
      </c>
      <c r="AH136" s="183">
        <f t="shared" si="24"/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183">
        <f t="shared" si="25"/>
        <v>0</v>
      </c>
      <c r="AS136" s="183">
        <f t="shared" si="26"/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183">
        <f t="shared" si="27"/>
        <v>0</v>
      </c>
      <c r="BA136" s="29">
        <v>0</v>
      </c>
      <c r="BB136" s="29">
        <v>0</v>
      </c>
      <c r="BC136" s="29">
        <v>0</v>
      </c>
      <c r="BD136" s="29">
        <v>0</v>
      </c>
      <c r="BE136" s="29">
        <v>0</v>
      </c>
      <c r="BF136" s="29">
        <v>0</v>
      </c>
      <c r="BG136" s="29">
        <v>0</v>
      </c>
      <c r="BH136" s="29">
        <v>0</v>
      </c>
      <c r="BI136" s="29">
        <v>0</v>
      </c>
      <c r="BJ136" s="183">
        <f t="shared" si="28"/>
        <v>0</v>
      </c>
      <c r="BK136" s="183">
        <f t="shared" si="29"/>
        <v>0</v>
      </c>
      <c r="BL136" s="183">
        <f>$BO$9+SUMPRODUCT($D$10:D136,$BK$10:BK136)</f>
        <v>1415140212.4136899</v>
      </c>
      <c r="BM136" s="30">
        <f t="shared" si="30"/>
        <v>4.3</v>
      </c>
      <c r="BN136" s="183">
        <f t="shared" si="33"/>
        <v>12249173515.2584</v>
      </c>
      <c r="BO136" s="184">
        <f t="shared" si="31"/>
        <v>297113673870.104</v>
      </c>
      <c r="BP136" s="41">
        <f t="shared" si="34"/>
        <v>0</v>
      </c>
      <c r="BQ136" s="41">
        <f t="shared" si="35"/>
        <v>0</v>
      </c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x14ac:dyDescent="0.25">
      <c r="A137" s="185">
        <f t="shared" si="40"/>
        <v>128</v>
      </c>
      <c r="B137" s="186">
        <f t="shared" si="40"/>
        <v>2147</v>
      </c>
      <c r="C137" s="29">
        <v>4.3</v>
      </c>
      <c r="D137" s="183">
        <f t="shared" si="36"/>
        <v>4.5700000000000003E-3</v>
      </c>
      <c r="E137" s="29">
        <v>0</v>
      </c>
      <c r="F137" s="183">
        <f t="shared" si="38"/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183">
        <f t="shared" si="21"/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183">
        <f t="shared" si="22"/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183">
        <f t="shared" si="23"/>
        <v>0</v>
      </c>
      <c r="AD137" s="29">
        <v>0</v>
      </c>
      <c r="AE137" s="29">
        <v>0</v>
      </c>
      <c r="AF137" s="29">
        <v>0</v>
      </c>
      <c r="AG137" s="29">
        <v>0</v>
      </c>
      <c r="AH137" s="183">
        <f t="shared" si="24"/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183">
        <f t="shared" si="25"/>
        <v>0</v>
      </c>
      <c r="AS137" s="183">
        <f t="shared" si="26"/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183">
        <f t="shared" si="27"/>
        <v>0</v>
      </c>
      <c r="BA137" s="29">
        <v>0</v>
      </c>
      <c r="BB137" s="29">
        <v>0</v>
      </c>
      <c r="BC137" s="29">
        <v>0</v>
      </c>
      <c r="BD137" s="29">
        <v>0</v>
      </c>
      <c r="BE137" s="29">
        <v>0</v>
      </c>
      <c r="BF137" s="29">
        <v>0</v>
      </c>
      <c r="BG137" s="29">
        <v>0</v>
      </c>
      <c r="BH137" s="29">
        <v>0</v>
      </c>
      <c r="BI137" s="29">
        <v>0</v>
      </c>
      <c r="BJ137" s="183">
        <f t="shared" si="28"/>
        <v>0</v>
      </c>
      <c r="BK137" s="183">
        <f t="shared" si="29"/>
        <v>0</v>
      </c>
      <c r="BL137" s="183">
        <f>$BO$9+SUMPRODUCT($D$10:D137,$BK$10:BK137)</f>
        <v>1415140212.4136899</v>
      </c>
      <c r="BM137" s="30">
        <f t="shared" si="30"/>
        <v>4.3</v>
      </c>
      <c r="BN137" s="183">
        <f t="shared" si="33"/>
        <v>12775887976.414499</v>
      </c>
      <c r="BO137" s="184">
        <f t="shared" si="31"/>
        <v>309889561846.51801</v>
      </c>
      <c r="BP137" s="41">
        <f t="shared" si="34"/>
        <v>0</v>
      </c>
      <c r="BQ137" s="41">
        <f t="shared" si="35"/>
        <v>0</v>
      </c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x14ac:dyDescent="0.25">
      <c r="A138" s="185">
        <f t="shared" si="40"/>
        <v>129</v>
      </c>
      <c r="B138" s="186">
        <f t="shared" si="40"/>
        <v>2148</v>
      </c>
      <c r="C138" s="29">
        <v>4.3</v>
      </c>
      <c r="D138" s="183">
        <f t="shared" si="36"/>
        <v>4.3800000000000002E-3</v>
      </c>
      <c r="E138" s="29">
        <v>0</v>
      </c>
      <c r="F138" s="183">
        <f t="shared" si="38"/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183">
        <f t="shared" ref="M138:M159" si="41">ROUND(SUM(N138:T138),5)</f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183">
        <f t="shared" ref="U138:U159" si="42">ROUND(SUM(V138:AB138),5)</f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183">
        <f t="shared" ref="AC138:AC159" si="43">ROUND(SUM(AD138:AG138),5)</f>
        <v>0</v>
      </c>
      <c r="AD138" s="29">
        <v>0</v>
      </c>
      <c r="AE138" s="29">
        <v>0</v>
      </c>
      <c r="AF138" s="29">
        <v>0</v>
      </c>
      <c r="AG138" s="29">
        <v>0</v>
      </c>
      <c r="AH138" s="183">
        <f t="shared" ref="AH138:AH159" si="44">ROUND(SUM(AI138:AM138),5)</f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183">
        <f t="shared" ref="AR138:AR159" si="45">ROUND(F138+K138+L138+M138+U138+AC138+AH138+AN138+AO138+AP138+AQ138,5)</f>
        <v>0</v>
      </c>
      <c r="AS138" s="183">
        <f t="shared" ref="AS138:AS159" si="46">ROUND(SUM(AT138:AY138),5)</f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183">
        <f t="shared" ref="AZ138:AZ159" si="47">ROUND(SUM(BA138:BI138),5)</f>
        <v>0</v>
      </c>
      <c r="BA138" s="29">
        <v>0</v>
      </c>
      <c r="BB138" s="29">
        <v>0</v>
      </c>
      <c r="BC138" s="29">
        <v>0</v>
      </c>
      <c r="BD138" s="29">
        <v>0</v>
      </c>
      <c r="BE138" s="29">
        <v>0</v>
      </c>
      <c r="BF138" s="29">
        <v>0</v>
      </c>
      <c r="BG138" s="29">
        <v>0</v>
      </c>
      <c r="BH138" s="29">
        <v>0</v>
      </c>
      <c r="BI138" s="29">
        <v>0</v>
      </c>
      <c r="BJ138" s="183">
        <f t="shared" ref="BJ138:BJ159" si="48">ROUND(AS138+AZ138,5)</f>
        <v>0</v>
      </c>
      <c r="BK138" s="183">
        <f t="shared" ref="BK138:BK159" si="49">ROUND(AR138-BJ138,5)</f>
        <v>0</v>
      </c>
      <c r="BL138" s="183">
        <f>$BO$9+SUMPRODUCT($D$10:D138,$BK$10:BK138)</f>
        <v>1415140212.4136899</v>
      </c>
      <c r="BM138" s="30">
        <f t="shared" ref="BM138:BM159" si="50">ROUND(C138,5)</f>
        <v>4.3</v>
      </c>
      <c r="BN138" s="183">
        <f t="shared" si="33"/>
        <v>13325251159.400299</v>
      </c>
      <c r="BO138" s="184">
        <f t="shared" ref="BO138:BO159" si="51">IF(BO137+BK138+BN138&gt;0,ROUND(BO137+BK138+BN138,5),0)</f>
        <v>323214813005.91803</v>
      </c>
      <c r="BP138" s="41">
        <f t="shared" si="34"/>
        <v>0</v>
      </c>
      <c r="BQ138" s="41">
        <f t="shared" si="35"/>
        <v>0</v>
      </c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x14ac:dyDescent="0.25">
      <c r="A139" s="185">
        <f t="shared" ref="A139:B154" si="52">A138+1</f>
        <v>130</v>
      </c>
      <c r="B139" s="186">
        <f t="shared" si="52"/>
        <v>2149</v>
      </c>
      <c r="C139" s="29">
        <v>4.3</v>
      </c>
      <c r="D139" s="183">
        <f t="shared" si="36"/>
        <v>4.1999999999999997E-3</v>
      </c>
      <c r="E139" s="29">
        <v>0</v>
      </c>
      <c r="F139" s="183">
        <f t="shared" si="38"/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183">
        <f t="shared" si="41"/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183">
        <f t="shared" si="42"/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183">
        <f t="shared" si="43"/>
        <v>0</v>
      </c>
      <c r="AD139" s="29">
        <v>0</v>
      </c>
      <c r="AE139" s="29">
        <v>0</v>
      </c>
      <c r="AF139" s="29">
        <v>0</v>
      </c>
      <c r="AG139" s="29">
        <v>0</v>
      </c>
      <c r="AH139" s="183">
        <f t="shared" si="44"/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183">
        <f t="shared" si="45"/>
        <v>0</v>
      </c>
      <c r="AS139" s="183">
        <f t="shared" si="46"/>
        <v>0</v>
      </c>
      <c r="AT139" s="29">
        <v>0</v>
      </c>
      <c r="AU139" s="29">
        <v>0</v>
      </c>
      <c r="AV139" s="29">
        <v>0</v>
      </c>
      <c r="AW139" s="29">
        <v>0</v>
      </c>
      <c r="AX139" s="29">
        <v>0</v>
      </c>
      <c r="AY139" s="29">
        <v>0</v>
      </c>
      <c r="AZ139" s="183">
        <f t="shared" si="47"/>
        <v>0</v>
      </c>
      <c r="BA139" s="29">
        <v>0</v>
      </c>
      <c r="BB139" s="29">
        <v>0</v>
      </c>
      <c r="BC139" s="29">
        <v>0</v>
      </c>
      <c r="BD139" s="29">
        <v>0</v>
      </c>
      <c r="BE139" s="29">
        <v>0</v>
      </c>
      <c r="BF139" s="29">
        <v>0</v>
      </c>
      <c r="BG139" s="29">
        <v>0</v>
      </c>
      <c r="BH139" s="29">
        <v>0</v>
      </c>
      <c r="BI139" s="29">
        <v>0</v>
      </c>
      <c r="BJ139" s="183">
        <f t="shared" si="48"/>
        <v>0</v>
      </c>
      <c r="BK139" s="183">
        <f t="shared" si="49"/>
        <v>0</v>
      </c>
      <c r="BL139" s="183">
        <f>$BO$9+SUMPRODUCT($D$10:D139,$BK$10:BK139)</f>
        <v>1415140212.4136899</v>
      </c>
      <c r="BM139" s="30">
        <f t="shared" si="50"/>
        <v>4.3</v>
      </c>
      <c r="BN139" s="183">
        <f t="shared" ref="BN139:BN159" si="53">IF($A$10=0,IF(BO138+BK139&lt;0,0,ROUND(BM139/100*(BO138+BK139),5)),ROUND(BM139/100*BO138,5))</f>
        <v>13898236959.254499</v>
      </c>
      <c r="BO139" s="184">
        <f t="shared" si="51"/>
        <v>337113049965.17297</v>
      </c>
      <c r="BP139" s="41">
        <f t="shared" ref="BP139:BP159" si="54">(1/((1+$C139/100)^($A139-0.5)))*(AS139+AZ139-AY139-BH139-F139-AC139-AH139)</f>
        <v>0</v>
      </c>
      <c r="BQ139" s="41">
        <f t="shared" ref="BQ139:BQ159" si="55">$BP139*($A139-0.5)</f>
        <v>0</v>
      </c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x14ac:dyDescent="0.25">
      <c r="A140" s="185">
        <f t="shared" si="52"/>
        <v>131</v>
      </c>
      <c r="B140" s="186">
        <f t="shared" si="52"/>
        <v>2150</v>
      </c>
      <c r="C140" s="29">
        <v>4.3</v>
      </c>
      <c r="D140" s="183">
        <f t="shared" ref="D140:D158" si="56">ROUND((1+C140/100)^-1*D139,5)</f>
        <v>4.0299999999999997E-3</v>
      </c>
      <c r="E140" s="29">
        <v>0</v>
      </c>
      <c r="F140" s="183">
        <f t="shared" si="38"/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183">
        <f t="shared" si="41"/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183">
        <f t="shared" si="42"/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183">
        <f t="shared" si="43"/>
        <v>0</v>
      </c>
      <c r="AD140" s="29">
        <v>0</v>
      </c>
      <c r="AE140" s="29">
        <v>0</v>
      </c>
      <c r="AF140" s="29">
        <v>0</v>
      </c>
      <c r="AG140" s="29">
        <v>0</v>
      </c>
      <c r="AH140" s="183">
        <f t="shared" si="44"/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183">
        <f t="shared" si="45"/>
        <v>0</v>
      </c>
      <c r="AS140" s="183">
        <f t="shared" si="46"/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183">
        <f t="shared" si="47"/>
        <v>0</v>
      </c>
      <c r="BA140" s="29">
        <v>0</v>
      </c>
      <c r="BB140" s="29">
        <v>0</v>
      </c>
      <c r="BC140" s="29">
        <v>0</v>
      </c>
      <c r="BD140" s="29">
        <v>0</v>
      </c>
      <c r="BE140" s="29">
        <v>0</v>
      </c>
      <c r="BF140" s="29">
        <v>0</v>
      </c>
      <c r="BG140" s="29">
        <v>0</v>
      </c>
      <c r="BH140" s="29">
        <v>0</v>
      </c>
      <c r="BI140" s="29">
        <v>0</v>
      </c>
      <c r="BJ140" s="183">
        <f t="shared" si="48"/>
        <v>0</v>
      </c>
      <c r="BK140" s="183">
        <f t="shared" si="49"/>
        <v>0</v>
      </c>
      <c r="BL140" s="183">
        <f>$BO$9+SUMPRODUCT($D$10:D140,$BK$10:BK140)</f>
        <v>1415140212.4136899</v>
      </c>
      <c r="BM140" s="30">
        <f t="shared" si="50"/>
        <v>4.3</v>
      </c>
      <c r="BN140" s="183">
        <f t="shared" si="53"/>
        <v>14495861148.502399</v>
      </c>
      <c r="BO140" s="184">
        <f t="shared" si="51"/>
        <v>351608911113.67499</v>
      </c>
      <c r="BP140" s="41">
        <f t="shared" si="54"/>
        <v>0</v>
      </c>
      <c r="BQ140" s="41">
        <f t="shared" si="55"/>
        <v>0</v>
      </c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x14ac:dyDescent="0.25">
      <c r="A141" s="185">
        <f t="shared" si="52"/>
        <v>132</v>
      </c>
      <c r="B141" s="186">
        <f t="shared" si="52"/>
        <v>2151</v>
      </c>
      <c r="C141" s="29">
        <v>4.3</v>
      </c>
      <c r="D141" s="183">
        <f t="shared" si="56"/>
        <v>3.8600000000000001E-3</v>
      </c>
      <c r="E141" s="29">
        <v>0</v>
      </c>
      <c r="F141" s="183">
        <f t="shared" si="38"/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183">
        <f t="shared" si="41"/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183">
        <f t="shared" si="42"/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183">
        <f t="shared" si="43"/>
        <v>0</v>
      </c>
      <c r="AD141" s="29">
        <v>0</v>
      </c>
      <c r="AE141" s="29">
        <v>0</v>
      </c>
      <c r="AF141" s="29">
        <v>0</v>
      </c>
      <c r="AG141" s="29">
        <v>0</v>
      </c>
      <c r="AH141" s="183">
        <f t="shared" si="44"/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183">
        <f t="shared" si="45"/>
        <v>0</v>
      </c>
      <c r="AS141" s="183">
        <f t="shared" si="46"/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183">
        <f t="shared" si="47"/>
        <v>0</v>
      </c>
      <c r="BA141" s="29">
        <v>0</v>
      </c>
      <c r="BB141" s="29">
        <v>0</v>
      </c>
      <c r="BC141" s="29">
        <v>0</v>
      </c>
      <c r="BD141" s="29">
        <v>0</v>
      </c>
      <c r="BE141" s="29">
        <v>0</v>
      </c>
      <c r="BF141" s="29">
        <v>0</v>
      </c>
      <c r="BG141" s="29">
        <v>0</v>
      </c>
      <c r="BH141" s="29">
        <v>0</v>
      </c>
      <c r="BI141" s="29">
        <v>0</v>
      </c>
      <c r="BJ141" s="183">
        <f t="shared" si="48"/>
        <v>0</v>
      </c>
      <c r="BK141" s="183">
        <f t="shared" si="49"/>
        <v>0</v>
      </c>
      <c r="BL141" s="183">
        <f>$BO$9+SUMPRODUCT($D$10:D141,$BK$10:BK141)</f>
        <v>1415140212.4136899</v>
      </c>
      <c r="BM141" s="30">
        <f t="shared" si="50"/>
        <v>4.3</v>
      </c>
      <c r="BN141" s="183">
        <f t="shared" si="53"/>
        <v>15119183177.888</v>
      </c>
      <c r="BO141" s="184">
        <f t="shared" si="51"/>
        <v>366728094291.56299</v>
      </c>
      <c r="BP141" s="41">
        <f t="shared" si="54"/>
        <v>0</v>
      </c>
      <c r="BQ141" s="41">
        <f t="shared" si="55"/>
        <v>0</v>
      </c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x14ac:dyDescent="0.25">
      <c r="A142" s="185">
        <f t="shared" si="52"/>
        <v>133</v>
      </c>
      <c r="B142" s="186">
        <f t="shared" si="52"/>
        <v>2152</v>
      </c>
      <c r="C142" s="29">
        <v>4.3</v>
      </c>
      <c r="D142" s="183">
        <f t="shared" si="56"/>
        <v>3.7000000000000002E-3</v>
      </c>
      <c r="E142" s="29">
        <v>0</v>
      </c>
      <c r="F142" s="183">
        <f t="shared" si="38"/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183">
        <f t="shared" si="41"/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183">
        <f t="shared" si="42"/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183">
        <f t="shared" si="43"/>
        <v>0</v>
      </c>
      <c r="AD142" s="29">
        <v>0</v>
      </c>
      <c r="AE142" s="29">
        <v>0</v>
      </c>
      <c r="AF142" s="29">
        <v>0</v>
      </c>
      <c r="AG142" s="29">
        <v>0</v>
      </c>
      <c r="AH142" s="183">
        <f t="shared" si="44"/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183">
        <f t="shared" si="45"/>
        <v>0</v>
      </c>
      <c r="AS142" s="183">
        <f t="shared" si="46"/>
        <v>0</v>
      </c>
      <c r="AT142" s="29">
        <v>0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183">
        <f t="shared" si="47"/>
        <v>0</v>
      </c>
      <c r="BA142" s="29">
        <v>0</v>
      </c>
      <c r="BB142" s="29">
        <v>0</v>
      </c>
      <c r="BC142" s="29">
        <v>0</v>
      </c>
      <c r="BD142" s="29">
        <v>0</v>
      </c>
      <c r="BE142" s="29">
        <v>0</v>
      </c>
      <c r="BF142" s="29">
        <v>0</v>
      </c>
      <c r="BG142" s="29">
        <v>0</v>
      </c>
      <c r="BH142" s="29">
        <v>0</v>
      </c>
      <c r="BI142" s="29">
        <v>0</v>
      </c>
      <c r="BJ142" s="183">
        <f t="shared" si="48"/>
        <v>0</v>
      </c>
      <c r="BK142" s="183">
        <f t="shared" si="49"/>
        <v>0</v>
      </c>
      <c r="BL142" s="183">
        <f>$BO$9+SUMPRODUCT($D$10:D142,$BK$10:BK142)</f>
        <v>1415140212.4136899</v>
      </c>
      <c r="BM142" s="30">
        <f t="shared" si="50"/>
        <v>4.3</v>
      </c>
      <c r="BN142" s="183">
        <f t="shared" si="53"/>
        <v>15769308054.537201</v>
      </c>
      <c r="BO142" s="184">
        <f t="shared" si="51"/>
        <v>382497402346.09998</v>
      </c>
      <c r="BP142" s="41">
        <f t="shared" si="54"/>
        <v>0</v>
      </c>
      <c r="BQ142" s="41">
        <f t="shared" si="55"/>
        <v>0</v>
      </c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x14ac:dyDescent="0.25">
      <c r="A143" s="185">
        <f t="shared" si="52"/>
        <v>134</v>
      </c>
      <c r="B143" s="186">
        <f t="shared" si="52"/>
        <v>2153</v>
      </c>
      <c r="C143" s="29">
        <v>4.3</v>
      </c>
      <c r="D143" s="183">
        <f t="shared" si="56"/>
        <v>3.5500000000000002E-3</v>
      </c>
      <c r="E143" s="29">
        <v>0</v>
      </c>
      <c r="F143" s="183">
        <f t="shared" si="38"/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183">
        <f t="shared" si="41"/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183">
        <f t="shared" si="42"/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183">
        <f t="shared" si="43"/>
        <v>0</v>
      </c>
      <c r="AD143" s="29">
        <v>0</v>
      </c>
      <c r="AE143" s="29">
        <v>0</v>
      </c>
      <c r="AF143" s="29">
        <v>0</v>
      </c>
      <c r="AG143" s="29">
        <v>0</v>
      </c>
      <c r="AH143" s="183">
        <f t="shared" si="44"/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183">
        <f t="shared" si="45"/>
        <v>0</v>
      </c>
      <c r="AS143" s="183">
        <f t="shared" si="46"/>
        <v>0</v>
      </c>
      <c r="AT143" s="29">
        <v>0</v>
      </c>
      <c r="AU143" s="29">
        <v>0</v>
      </c>
      <c r="AV143" s="29">
        <v>0</v>
      </c>
      <c r="AW143" s="29">
        <v>0</v>
      </c>
      <c r="AX143" s="29">
        <v>0</v>
      </c>
      <c r="AY143" s="29">
        <v>0</v>
      </c>
      <c r="AZ143" s="183">
        <f t="shared" si="47"/>
        <v>0</v>
      </c>
      <c r="BA143" s="29">
        <v>0</v>
      </c>
      <c r="BB143" s="29">
        <v>0</v>
      </c>
      <c r="BC143" s="29">
        <v>0</v>
      </c>
      <c r="BD143" s="29">
        <v>0</v>
      </c>
      <c r="BE143" s="29">
        <v>0</v>
      </c>
      <c r="BF143" s="29">
        <v>0</v>
      </c>
      <c r="BG143" s="29">
        <v>0</v>
      </c>
      <c r="BH143" s="29">
        <v>0</v>
      </c>
      <c r="BI143" s="29">
        <v>0</v>
      </c>
      <c r="BJ143" s="183">
        <f t="shared" si="48"/>
        <v>0</v>
      </c>
      <c r="BK143" s="183">
        <f t="shared" si="49"/>
        <v>0</v>
      </c>
      <c r="BL143" s="183">
        <f>$BO$9+SUMPRODUCT($D$10:D143,$BK$10:BK143)</f>
        <v>1415140212.4136899</v>
      </c>
      <c r="BM143" s="30">
        <f t="shared" si="50"/>
        <v>4.3</v>
      </c>
      <c r="BN143" s="183">
        <f t="shared" si="53"/>
        <v>16447388300.882299</v>
      </c>
      <c r="BO143" s="184">
        <f t="shared" si="51"/>
        <v>398944790646.98199</v>
      </c>
      <c r="BP143" s="41">
        <f t="shared" si="54"/>
        <v>0</v>
      </c>
      <c r="BQ143" s="41">
        <f t="shared" si="55"/>
        <v>0</v>
      </c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x14ac:dyDescent="0.25">
      <c r="A144" s="185">
        <f t="shared" si="52"/>
        <v>135</v>
      </c>
      <c r="B144" s="186">
        <f t="shared" si="52"/>
        <v>2154</v>
      </c>
      <c r="C144" s="29">
        <v>4.3</v>
      </c>
      <c r="D144" s="183">
        <f t="shared" si="56"/>
        <v>3.3999999999999998E-3</v>
      </c>
      <c r="E144" s="29">
        <v>0</v>
      </c>
      <c r="F144" s="183">
        <f t="shared" si="38"/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183">
        <f t="shared" si="41"/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183">
        <f t="shared" si="42"/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183">
        <f t="shared" si="43"/>
        <v>0</v>
      </c>
      <c r="AD144" s="29">
        <v>0</v>
      </c>
      <c r="AE144" s="29">
        <v>0</v>
      </c>
      <c r="AF144" s="29">
        <v>0</v>
      </c>
      <c r="AG144" s="29">
        <v>0</v>
      </c>
      <c r="AH144" s="183">
        <f t="shared" si="44"/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183">
        <f t="shared" si="45"/>
        <v>0</v>
      </c>
      <c r="AS144" s="183">
        <f t="shared" si="46"/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183">
        <f t="shared" si="47"/>
        <v>0</v>
      </c>
      <c r="BA144" s="29">
        <v>0</v>
      </c>
      <c r="BB144" s="29">
        <v>0</v>
      </c>
      <c r="BC144" s="29">
        <v>0</v>
      </c>
      <c r="BD144" s="29">
        <v>0</v>
      </c>
      <c r="BE144" s="29">
        <v>0</v>
      </c>
      <c r="BF144" s="29">
        <v>0</v>
      </c>
      <c r="BG144" s="29">
        <v>0</v>
      </c>
      <c r="BH144" s="29">
        <v>0</v>
      </c>
      <c r="BI144" s="29">
        <v>0</v>
      </c>
      <c r="BJ144" s="183">
        <f t="shared" si="48"/>
        <v>0</v>
      </c>
      <c r="BK144" s="183">
        <f t="shared" si="49"/>
        <v>0</v>
      </c>
      <c r="BL144" s="183">
        <f>$BO$9+SUMPRODUCT($D$10:D144,$BK$10:BK144)</f>
        <v>1415140212.4136899</v>
      </c>
      <c r="BM144" s="30">
        <f t="shared" si="50"/>
        <v>4.3</v>
      </c>
      <c r="BN144" s="183">
        <f t="shared" si="53"/>
        <v>17154625997.8202</v>
      </c>
      <c r="BO144" s="184">
        <f t="shared" si="51"/>
        <v>416099416644.802</v>
      </c>
      <c r="BP144" s="41">
        <f t="shared" si="54"/>
        <v>0</v>
      </c>
      <c r="BQ144" s="41">
        <f t="shared" si="55"/>
        <v>0</v>
      </c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x14ac:dyDescent="0.25">
      <c r="A145" s="185">
        <f t="shared" si="52"/>
        <v>136</v>
      </c>
      <c r="B145" s="186">
        <f t="shared" si="52"/>
        <v>2155</v>
      </c>
      <c r="C145" s="29">
        <v>4.3</v>
      </c>
      <c r="D145" s="183">
        <f t="shared" si="56"/>
        <v>3.2599999999999999E-3</v>
      </c>
      <c r="E145" s="29">
        <v>0</v>
      </c>
      <c r="F145" s="183">
        <f t="shared" si="38"/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183">
        <f t="shared" si="41"/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183">
        <f t="shared" si="42"/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183">
        <f t="shared" si="43"/>
        <v>0</v>
      </c>
      <c r="AD145" s="29">
        <v>0</v>
      </c>
      <c r="AE145" s="29">
        <v>0</v>
      </c>
      <c r="AF145" s="29">
        <v>0</v>
      </c>
      <c r="AG145" s="29">
        <v>0</v>
      </c>
      <c r="AH145" s="183">
        <f t="shared" si="44"/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183">
        <f t="shared" si="45"/>
        <v>0</v>
      </c>
      <c r="AS145" s="183">
        <f t="shared" si="46"/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183">
        <f t="shared" si="47"/>
        <v>0</v>
      </c>
      <c r="BA145" s="29">
        <v>0</v>
      </c>
      <c r="BB145" s="29">
        <v>0</v>
      </c>
      <c r="BC145" s="29">
        <v>0</v>
      </c>
      <c r="BD145" s="29">
        <v>0</v>
      </c>
      <c r="BE145" s="29">
        <v>0</v>
      </c>
      <c r="BF145" s="29">
        <v>0</v>
      </c>
      <c r="BG145" s="29">
        <v>0</v>
      </c>
      <c r="BH145" s="29">
        <v>0</v>
      </c>
      <c r="BI145" s="29">
        <v>0</v>
      </c>
      <c r="BJ145" s="183">
        <f t="shared" si="48"/>
        <v>0</v>
      </c>
      <c r="BK145" s="183">
        <f t="shared" si="49"/>
        <v>0</v>
      </c>
      <c r="BL145" s="183">
        <f>$BO$9+SUMPRODUCT($D$10:D145,$BK$10:BK145)</f>
        <v>1415140212.4136899</v>
      </c>
      <c r="BM145" s="30">
        <f t="shared" si="50"/>
        <v>4.3</v>
      </c>
      <c r="BN145" s="183">
        <f t="shared" si="53"/>
        <v>17892274915.726501</v>
      </c>
      <c r="BO145" s="184">
        <f t="shared" si="51"/>
        <v>433991691560.52899</v>
      </c>
      <c r="BP145" s="41">
        <f t="shared" si="54"/>
        <v>0</v>
      </c>
      <c r="BQ145" s="41">
        <f t="shared" si="55"/>
        <v>0</v>
      </c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x14ac:dyDescent="0.25">
      <c r="A146" s="185">
        <f t="shared" si="52"/>
        <v>137</v>
      </c>
      <c r="B146" s="186">
        <f t="shared" si="52"/>
        <v>2156</v>
      </c>
      <c r="C146" s="29">
        <v>4.3</v>
      </c>
      <c r="D146" s="183">
        <f t="shared" si="56"/>
        <v>3.13E-3</v>
      </c>
      <c r="E146" s="29">
        <v>0</v>
      </c>
      <c r="F146" s="183">
        <f t="shared" si="38"/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183">
        <f t="shared" si="41"/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183">
        <f t="shared" si="42"/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183">
        <f t="shared" si="43"/>
        <v>0</v>
      </c>
      <c r="AD146" s="29">
        <v>0</v>
      </c>
      <c r="AE146" s="29">
        <v>0</v>
      </c>
      <c r="AF146" s="29">
        <v>0</v>
      </c>
      <c r="AG146" s="29">
        <v>0</v>
      </c>
      <c r="AH146" s="183">
        <f t="shared" si="44"/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183">
        <f t="shared" si="45"/>
        <v>0</v>
      </c>
      <c r="AS146" s="183">
        <f t="shared" si="46"/>
        <v>0</v>
      </c>
      <c r="AT146" s="29"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183">
        <f t="shared" si="47"/>
        <v>0</v>
      </c>
      <c r="BA146" s="29">
        <v>0</v>
      </c>
      <c r="BB146" s="29">
        <v>0</v>
      </c>
      <c r="BC146" s="29">
        <v>0</v>
      </c>
      <c r="BD146" s="29">
        <v>0</v>
      </c>
      <c r="BE146" s="29">
        <v>0</v>
      </c>
      <c r="BF146" s="29">
        <v>0</v>
      </c>
      <c r="BG146" s="29">
        <v>0</v>
      </c>
      <c r="BH146" s="29">
        <v>0</v>
      </c>
      <c r="BI146" s="29">
        <v>0</v>
      </c>
      <c r="BJ146" s="183">
        <f t="shared" si="48"/>
        <v>0</v>
      </c>
      <c r="BK146" s="183">
        <f t="shared" si="49"/>
        <v>0</v>
      </c>
      <c r="BL146" s="183">
        <f>$BO$9+SUMPRODUCT($D$10:D146,$BK$10:BK146)</f>
        <v>1415140212.4136899</v>
      </c>
      <c r="BM146" s="30">
        <f t="shared" si="50"/>
        <v>4.3</v>
      </c>
      <c r="BN146" s="183">
        <f t="shared" si="53"/>
        <v>18661642737.102699</v>
      </c>
      <c r="BO146" s="184">
        <f t="shared" si="51"/>
        <v>452653334297.63202</v>
      </c>
      <c r="BP146" s="41">
        <f t="shared" si="54"/>
        <v>0</v>
      </c>
      <c r="BQ146" s="41">
        <f t="shared" si="55"/>
        <v>0</v>
      </c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x14ac:dyDescent="0.25">
      <c r="A147" s="185">
        <f t="shared" si="52"/>
        <v>138</v>
      </c>
      <c r="B147" s="186">
        <f t="shared" si="52"/>
        <v>2157</v>
      </c>
      <c r="C147" s="29">
        <v>4.3</v>
      </c>
      <c r="D147" s="183">
        <f t="shared" si="56"/>
        <v>3.0000000000000001E-3</v>
      </c>
      <c r="E147" s="29">
        <v>0</v>
      </c>
      <c r="F147" s="183">
        <f t="shared" si="38"/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183">
        <f t="shared" si="41"/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183">
        <f t="shared" si="42"/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183">
        <f t="shared" si="43"/>
        <v>0</v>
      </c>
      <c r="AD147" s="29">
        <v>0</v>
      </c>
      <c r="AE147" s="29">
        <v>0</v>
      </c>
      <c r="AF147" s="29">
        <v>0</v>
      </c>
      <c r="AG147" s="29">
        <v>0</v>
      </c>
      <c r="AH147" s="183">
        <f t="shared" si="44"/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183">
        <f t="shared" si="45"/>
        <v>0</v>
      </c>
      <c r="AS147" s="183">
        <f t="shared" si="46"/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183">
        <f t="shared" si="47"/>
        <v>0</v>
      </c>
      <c r="BA147" s="29">
        <v>0</v>
      </c>
      <c r="BB147" s="29">
        <v>0</v>
      </c>
      <c r="BC147" s="29">
        <v>0</v>
      </c>
      <c r="BD147" s="29">
        <v>0</v>
      </c>
      <c r="BE147" s="29">
        <v>0</v>
      </c>
      <c r="BF147" s="29">
        <v>0</v>
      </c>
      <c r="BG147" s="29">
        <v>0</v>
      </c>
      <c r="BH147" s="29">
        <v>0</v>
      </c>
      <c r="BI147" s="29">
        <v>0</v>
      </c>
      <c r="BJ147" s="183">
        <f t="shared" si="48"/>
        <v>0</v>
      </c>
      <c r="BK147" s="183">
        <f t="shared" si="49"/>
        <v>0</v>
      </c>
      <c r="BL147" s="183">
        <f>$BO$9+SUMPRODUCT($D$10:D147,$BK$10:BK147)</f>
        <v>1415140212.4136899</v>
      </c>
      <c r="BM147" s="30">
        <f t="shared" si="50"/>
        <v>4.3</v>
      </c>
      <c r="BN147" s="183">
        <f t="shared" si="53"/>
        <v>19464093374.798199</v>
      </c>
      <c r="BO147" s="184">
        <f t="shared" si="51"/>
        <v>472117427672.42999</v>
      </c>
      <c r="BP147" s="41">
        <f t="shared" si="54"/>
        <v>0</v>
      </c>
      <c r="BQ147" s="41">
        <f t="shared" si="55"/>
        <v>0</v>
      </c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x14ac:dyDescent="0.25">
      <c r="A148" s="185">
        <f t="shared" si="52"/>
        <v>139</v>
      </c>
      <c r="B148" s="186">
        <f t="shared" si="52"/>
        <v>2158</v>
      </c>
      <c r="C148" s="29">
        <v>4.3</v>
      </c>
      <c r="D148" s="183">
        <f t="shared" si="56"/>
        <v>2.8800000000000002E-3</v>
      </c>
      <c r="E148" s="29">
        <v>0</v>
      </c>
      <c r="F148" s="183">
        <f t="shared" si="38"/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183">
        <f t="shared" si="41"/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183">
        <f t="shared" si="42"/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183">
        <f t="shared" si="43"/>
        <v>0</v>
      </c>
      <c r="AD148" s="29">
        <v>0</v>
      </c>
      <c r="AE148" s="29">
        <v>0</v>
      </c>
      <c r="AF148" s="29">
        <v>0</v>
      </c>
      <c r="AG148" s="29">
        <v>0</v>
      </c>
      <c r="AH148" s="183">
        <f t="shared" si="44"/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183">
        <f t="shared" si="45"/>
        <v>0</v>
      </c>
      <c r="AS148" s="183">
        <f t="shared" si="46"/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183">
        <f t="shared" si="47"/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0</v>
      </c>
      <c r="BF148" s="29">
        <v>0</v>
      </c>
      <c r="BG148" s="29">
        <v>0</v>
      </c>
      <c r="BH148" s="29">
        <v>0</v>
      </c>
      <c r="BI148" s="29">
        <v>0</v>
      </c>
      <c r="BJ148" s="183">
        <f t="shared" si="48"/>
        <v>0</v>
      </c>
      <c r="BK148" s="183">
        <f t="shared" si="49"/>
        <v>0</v>
      </c>
      <c r="BL148" s="183">
        <f>$BO$9+SUMPRODUCT($D$10:D148,$BK$10:BK148)</f>
        <v>1415140212.4136899</v>
      </c>
      <c r="BM148" s="30">
        <f t="shared" si="50"/>
        <v>4.3</v>
      </c>
      <c r="BN148" s="183">
        <f t="shared" si="53"/>
        <v>20301049389.914501</v>
      </c>
      <c r="BO148" s="184">
        <f t="shared" si="51"/>
        <v>492418477062.34399</v>
      </c>
      <c r="BP148" s="41">
        <f t="shared" si="54"/>
        <v>0</v>
      </c>
      <c r="BQ148" s="41">
        <f t="shared" si="55"/>
        <v>0</v>
      </c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x14ac:dyDescent="0.25">
      <c r="A149" s="185">
        <f t="shared" si="52"/>
        <v>140</v>
      </c>
      <c r="B149" s="186">
        <f t="shared" si="52"/>
        <v>2159</v>
      </c>
      <c r="C149" s="29">
        <v>4.3</v>
      </c>
      <c r="D149" s="183">
        <f t="shared" si="56"/>
        <v>2.7599999999999999E-3</v>
      </c>
      <c r="E149" s="29">
        <v>0</v>
      </c>
      <c r="F149" s="183">
        <f t="shared" si="38"/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183">
        <f t="shared" si="41"/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183">
        <f t="shared" si="42"/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183">
        <f t="shared" si="43"/>
        <v>0</v>
      </c>
      <c r="AD149" s="29">
        <v>0</v>
      </c>
      <c r="AE149" s="29">
        <v>0</v>
      </c>
      <c r="AF149" s="29">
        <v>0</v>
      </c>
      <c r="AG149" s="29">
        <v>0</v>
      </c>
      <c r="AH149" s="183">
        <f t="shared" si="44"/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183">
        <f t="shared" si="45"/>
        <v>0</v>
      </c>
      <c r="AS149" s="183">
        <f t="shared" si="46"/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183">
        <f t="shared" si="47"/>
        <v>0</v>
      </c>
      <c r="BA149" s="29">
        <v>0</v>
      </c>
      <c r="BB149" s="29">
        <v>0</v>
      </c>
      <c r="BC149" s="29">
        <v>0</v>
      </c>
      <c r="BD149" s="29">
        <v>0</v>
      </c>
      <c r="BE149" s="29">
        <v>0</v>
      </c>
      <c r="BF149" s="29">
        <v>0</v>
      </c>
      <c r="BG149" s="29">
        <v>0</v>
      </c>
      <c r="BH149" s="29">
        <v>0</v>
      </c>
      <c r="BI149" s="29">
        <v>0</v>
      </c>
      <c r="BJ149" s="183">
        <f t="shared" si="48"/>
        <v>0</v>
      </c>
      <c r="BK149" s="183">
        <f t="shared" si="49"/>
        <v>0</v>
      </c>
      <c r="BL149" s="183">
        <f>$BO$9+SUMPRODUCT($D$10:D149,$BK$10:BK149)</f>
        <v>1415140212.4136899</v>
      </c>
      <c r="BM149" s="30">
        <f t="shared" si="50"/>
        <v>4.3</v>
      </c>
      <c r="BN149" s="183">
        <f t="shared" si="53"/>
        <v>21173994513.680801</v>
      </c>
      <c r="BO149" s="184">
        <f t="shared" si="51"/>
        <v>513592471576.02502</v>
      </c>
      <c r="BP149" s="41">
        <f t="shared" si="54"/>
        <v>0</v>
      </c>
      <c r="BQ149" s="41">
        <f t="shared" si="55"/>
        <v>0</v>
      </c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x14ac:dyDescent="0.25">
      <c r="A150" s="185">
        <f t="shared" si="52"/>
        <v>141</v>
      </c>
      <c r="B150" s="186">
        <f t="shared" si="52"/>
        <v>2160</v>
      </c>
      <c r="C150" s="29">
        <v>4.3</v>
      </c>
      <c r="D150" s="183">
        <f t="shared" si="56"/>
        <v>2.65E-3</v>
      </c>
      <c r="E150" s="29">
        <v>0</v>
      </c>
      <c r="F150" s="183">
        <f t="shared" si="38"/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183">
        <f t="shared" si="41"/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183">
        <f t="shared" si="42"/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183">
        <f t="shared" si="43"/>
        <v>0</v>
      </c>
      <c r="AD150" s="29">
        <v>0</v>
      </c>
      <c r="AE150" s="29">
        <v>0</v>
      </c>
      <c r="AF150" s="29">
        <v>0</v>
      </c>
      <c r="AG150" s="29">
        <v>0</v>
      </c>
      <c r="AH150" s="183">
        <f t="shared" si="44"/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183">
        <f t="shared" si="45"/>
        <v>0</v>
      </c>
      <c r="AS150" s="183">
        <f t="shared" si="46"/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183">
        <f t="shared" si="47"/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0</v>
      </c>
      <c r="BF150" s="29">
        <v>0</v>
      </c>
      <c r="BG150" s="29">
        <v>0</v>
      </c>
      <c r="BH150" s="29">
        <v>0</v>
      </c>
      <c r="BI150" s="29">
        <v>0</v>
      </c>
      <c r="BJ150" s="183">
        <f t="shared" si="48"/>
        <v>0</v>
      </c>
      <c r="BK150" s="183">
        <f t="shared" si="49"/>
        <v>0</v>
      </c>
      <c r="BL150" s="183">
        <f>$BO$9+SUMPRODUCT($D$10:D150,$BK$10:BK150)</f>
        <v>1415140212.4136899</v>
      </c>
      <c r="BM150" s="30">
        <f t="shared" si="50"/>
        <v>4.3</v>
      </c>
      <c r="BN150" s="183">
        <f t="shared" si="53"/>
        <v>22084476277.7691</v>
      </c>
      <c r="BO150" s="184">
        <f t="shared" si="51"/>
        <v>535676947853.79401</v>
      </c>
      <c r="BP150" s="41">
        <f t="shared" si="54"/>
        <v>0</v>
      </c>
      <c r="BQ150" s="41">
        <f t="shared" si="55"/>
        <v>0</v>
      </c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x14ac:dyDescent="0.25">
      <c r="A151" s="185">
        <f t="shared" si="52"/>
        <v>142</v>
      </c>
      <c r="B151" s="186">
        <f t="shared" si="52"/>
        <v>2161</v>
      </c>
      <c r="C151" s="29">
        <v>4.3</v>
      </c>
      <c r="D151" s="183">
        <f t="shared" si="56"/>
        <v>2.5400000000000002E-3</v>
      </c>
      <c r="E151" s="29">
        <v>0</v>
      </c>
      <c r="F151" s="183">
        <f t="shared" si="38"/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183">
        <f t="shared" si="41"/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183">
        <f t="shared" si="42"/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183">
        <f t="shared" si="43"/>
        <v>0</v>
      </c>
      <c r="AD151" s="29">
        <v>0</v>
      </c>
      <c r="AE151" s="29">
        <v>0</v>
      </c>
      <c r="AF151" s="29">
        <v>0</v>
      </c>
      <c r="AG151" s="29">
        <v>0</v>
      </c>
      <c r="AH151" s="183">
        <f t="shared" si="44"/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183">
        <f t="shared" si="45"/>
        <v>0</v>
      </c>
      <c r="AS151" s="183">
        <f t="shared" si="46"/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183">
        <f t="shared" si="47"/>
        <v>0</v>
      </c>
      <c r="BA151" s="29">
        <v>0</v>
      </c>
      <c r="BB151" s="29">
        <v>0</v>
      </c>
      <c r="BC151" s="29">
        <v>0</v>
      </c>
      <c r="BD151" s="29">
        <v>0</v>
      </c>
      <c r="BE151" s="29">
        <v>0</v>
      </c>
      <c r="BF151" s="29">
        <v>0</v>
      </c>
      <c r="BG151" s="29">
        <v>0</v>
      </c>
      <c r="BH151" s="29">
        <v>0</v>
      </c>
      <c r="BI151" s="29">
        <v>0</v>
      </c>
      <c r="BJ151" s="183">
        <f t="shared" si="48"/>
        <v>0</v>
      </c>
      <c r="BK151" s="183">
        <f t="shared" si="49"/>
        <v>0</v>
      </c>
      <c r="BL151" s="183">
        <f>$BO$9+SUMPRODUCT($D$10:D151,$BK$10:BK151)</f>
        <v>1415140212.4136899</v>
      </c>
      <c r="BM151" s="30">
        <f t="shared" si="50"/>
        <v>4.3</v>
      </c>
      <c r="BN151" s="183">
        <f t="shared" si="53"/>
        <v>23034108757.7131</v>
      </c>
      <c r="BO151" s="184">
        <f t="shared" si="51"/>
        <v>558711056611.50696</v>
      </c>
      <c r="BP151" s="41">
        <f t="shared" si="54"/>
        <v>0</v>
      </c>
      <c r="BQ151" s="41">
        <f t="shared" si="55"/>
        <v>0</v>
      </c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x14ac:dyDescent="0.25">
      <c r="A152" s="185">
        <f t="shared" si="52"/>
        <v>143</v>
      </c>
      <c r="B152" s="186">
        <f t="shared" si="52"/>
        <v>2162</v>
      </c>
      <c r="C152" s="29">
        <v>4.3</v>
      </c>
      <c r="D152" s="183">
        <f t="shared" si="56"/>
        <v>2.4399999999999999E-3</v>
      </c>
      <c r="E152" s="29">
        <v>0</v>
      </c>
      <c r="F152" s="183">
        <f t="shared" si="38"/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183">
        <f t="shared" si="41"/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183">
        <f t="shared" si="42"/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183">
        <f t="shared" si="43"/>
        <v>0</v>
      </c>
      <c r="AD152" s="29">
        <v>0</v>
      </c>
      <c r="AE152" s="29">
        <v>0</v>
      </c>
      <c r="AF152" s="29">
        <v>0</v>
      </c>
      <c r="AG152" s="29">
        <v>0</v>
      </c>
      <c r="AH152" s="183">
        <f t="shared" si="44"/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183">
        <f t="shared" si="45"/>
        <v>0</v>
      </c>
      <c r="AS152" s="183">
        <f t="shared" si="46"/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183">
        <f t="shared" si="47"/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29">
        <v>0</v>
      </c>
      <c r="BH152" s="29">
        <v>0</v>
      </c>
      <c r="BI152" s="29">
        <v>0</v>
      </c>
      <c r="BJ152" s="183">
        <f t="shared" si="48"/>
        <v>0</v>
      </c>
      <c r="BK152" s="183">
        <f t="shared" si="49"/>
        <v>0</v>
      </c>
      <c r="BL152" s="183">
        <f>$BO$9+SUMPRODUCT($D$10:D152,$BK$10:BK152)</f>
        <v>1415140212.4136899</v>
      </c>
      <c r="BM152" s="30">
        <f t="shared" si="50"/>
        <v>4.3</v>
      </c>
      <c r="BN152" s="183">
        <f t="shared" si="53"/>
        <v>24024575434.2948</v>
      </c>
      <c r="BO152" s="184">
        <f t="shared" si="51"/>
        <v>582735632045.802</v>
      </c>
      <c r="BP152" s="41">
        <f t="shared" si="54"/>
        <v>0</v>
      </c>
      <c r="BQ152" s="41">
        <f t="shared" si="55"/>
        <v>0</v>
      </c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x14ac:dyDescent="0.25">
      <c r="A153" s="185">
        <f t="shared" si="52"/>
        <v>144</v>
      </c>
      <c r="B153" s="186">
        <f t="shared" si="52"/>
        <v>2163</v>
      </c>
      <c r="C153" s="29">
        <v>4.3</v>
      </c>
      <c r="D153" s="183">
        <f t="shared" si="56"/>
        <v>2.3400000000000001E-3</v>
      </c>
      <c r="E153" s="29">
        <v>0</v>
      </c>
      <c r="F153" s="183">
        <f t="shared" si="38"/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183">
        <f t="shared" si="41"/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183">
        <f t="shared" si="42"/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183">
        <f t="shared" si="43"/>
        <v>0</v>
      </c>
      <c r="AD153" s="29">
        <v>0</v>
      </c>
      <c r="AE153" s="29">
        <v>0</v>
      </c>
      <c r="AF153" s="29">
        <v>0</v>
      </c>
      <c r="AG153" s="29">
        <v>0</v>
      </c>
      <c r="AH153" s="183">
        <f t="shared" si="44"/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183">
        <f t="shared" si="45"/>
        <v>0</v>
      </c>
      <c r="AS153" s="183">
        <f t="shared" si="46"/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183">
        <f t="shared" si="47"/>
        <v>0</v>
      </c>
      <c r="BA153" s="29">
        <v>0</v>
      </c>
      <c r="BB153" s="29">
        <v>0</v>
      </c>
      <c r="BC153" s="29">
        <v>0</v>
      </c>
      <c r="BD153" s="29">
        <v>0</v>
      </c>
      <c r="BE153" s="29">
        <v>0</v>
      </c>
      <c r="BF153" s="29">
        <v>0</v>
      </c>
      <c r="BG153" s="29">
        <v>0</v>
      </c>
      <c r="BH153" s="29">
        <v>0</v>
      </c>
      <c r="BI153" s="29">
        <v>0</v>
      </c>
      <c r="BJ153" s="183">
        <f t="shared" si="48"/>
        <v>0</v>
      </c>
      <c r="BK153" s="183">
        <f t="shared" si="49"/>
        <v>0</v>
      </c>
      <c r="BL153" s="183">
        <f>$BO$9+SUMPRODUCT($D$10:D153,$BK$10:BK153)</f>
        <v>1415140212.4136899</v>
      </c>
      <c r="BM153" s="30">
        <f t="shared" si="50"/>
        <v>4.3</v>
      </c>
      <c r="BN153" s="183">
        <f t="shared" si="53"/>
        <v>25057632177.969501</v>
      </c>
      <c r="BO153" s="184">
        <f t="shared" si="51"/>
        <v>607793264223.771</v>
      </c>
      <c r="BP153" s="41">
        <f t="shared" si="54"/>
        <v>0</v>
      </c>
      <c r="BQ153" s="41">
        <f t="shared" si="55"/>
        <v>0</v>
      </c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x14ac:dyDescent="0.25">
      <c r="A154" s="185">
        <f t="shared" si="52"/>
        <v>145</v>
      </c>
      <c r="B154" s="186">
        <f t="shared" si="52"/>
        <v>2164</v>
      </c>
      <c r="C154" s="29">
        <v>4.3</v>
      </c>
      <c r="D154" s="183">
        <f t="shared" si="56"/>
        <v>2.2399999999999998E-3</v>
      </c>
      <c r="E154" s="29">
        <v>0</v>
      </c>
      <c r="F154" s="183">
        <f t="shared" si="38"/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183">
        <f t="shared" si="41"/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183">
        <f t="shared" si="42"/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183">
        <f t="shared" si="43"/>
        <v>0</v>
      </c>
      <c r="AD154" s="29">
        <v>0</v>
      </c>
      <c r="AE154" s="29">
        <v>0</v>
      </c>
      <c r="AF154" s="29">
        <v>0</v>
      </c>
      <c r="AG154" s="29">
        <v>0</v>
      </c>
      <c r="AH154" s="183">
        <f t="shared" si="44"/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183">
        <f t="shared" si="45"/>
        <v>0</v>
      </c>
      <c r="AS154" s="183">
        <f t="shared" si="46"/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</v>
      </c>
      <c r="AZ154" s="183">
        <f t="shared" si="47"/>
        <v>0</v>
      </c>
      <c r="BA154" s="29">
        <v>0</v>
      </c>
      <c r="BB154" s="29">
        <v>0</v>
      </c>
      <c r="BC154" s="29">
        <v>0</v>
      </c>
      <c r="BD154" s="29">
        <v>0</v>
      </c>
      <c r="BE154" s="29">
        <v>0</v>
      </c>
      <c r="BF154" s="29">
        <v>0</v>
      </c>
      <c r="BG154" s="29">
        <v>0</v>
      </c>
      <c r="BH154" s="29">
        <v>0</v>
      </c>
      <c r="BI154" s="29">
        <v>0</v>
      </c>
      <c r="BJ154" s="183">
        <f t="shared" si="48"/>
        <v>0</v>
      </c>
      <c r="BK154" s="183">
        <f t="shared" si="49"/>
        <v>0</v>
      </c>
      <c r="BL154" s="183">
        <f>$BO$9+SUMPRODUCT($D$10:D154,$BK$10:BK154)</f>
        <v>1415140212.4136899</v>
      </c>
      <c r="BM154" s="30">
        <f t="shared" si="50"/>
        <v>4.3</v>
      </c>
      <c r="BN154" s="183">
        <f t="shared" si="53"/>
        <v>26135110361.6222</v>
      </c>
      <c r="BO154" s="184">
        <f t="shared" si="51"/>
        <v>633928374585.39294</v>
      </c>
      <c r="BP154" s="41">
        <f t="shared" si="54"/>
        <v>0</v>
      </c>
      <c r="BQ154" s="41">
        <f t="shared" si="55"/>
        <v>0</v>
      </c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x14ac:dyDescent="0.25">
      <c r="A155" s="185">
        <f t="shared" ref="A155:B159" si="57">A154+1</f>
        <v>146</v>
      </c>
      <c r="B155" s="186">
        <f t="shared" si="57"/>
        <v>2165</v>
      </c>
      <c r="C155" s="29">
        <v>4.3</v>
      </c>
      <c r="D155" s="183">
        <f t="shared" si="56"/>
        <v>2.15E-3</v>
      </c>
      <c r="E155" s="29">
        <v>0</v>
      </c>
      <c r="F155" s="183">
        <f t="shared" si="38"/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183">
        <f t="shared" si="41"/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183">
        <f t="shared" si="42"/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183">
        <f t="shared" si="43"/>
        <v>0</v>
      </c>
      <c r="AD155" s="29">
        <v>0</v>
      </c>
      <c r="AE155" s="29">
        <v>0</v>
      </c>
      <c r="AF155" s="29">
        <v>0</v>
      </c>
      <c r="AG155" s="29">
        <v>0</v>
      </c>
      <c r="AH155" s="183">
        <f t="shared" si="44"/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183">
        <f t="shared" si="45"/>
        <v>0</v>
      </c>
      <c r="AS155" s="183">
        <f t="shared" si="46"/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183">
        <f t="shared" si="47"/>
        <v>0</v>
      </c>
      <c r="BA155" s="29">
        <v>0</v>
      </c>
      <c r="BB155" s="29">
        <v>0</v>
      </c>
      <c r="BC155" s="29">
        <v>0</v>
      </c>
      <c r="BD155" s="29">
        <v>0</v>
      </c>
      <c r="BE155" s="29">
        <v>0</v>
      </c>
      <c r="BF155" s="29">
        <v>0</v>
      </c>
      <c r="BG155" s="29">
        <v>0</v>
      </c>
      <c r="BH155" s="29">
        <v>0</v>
      </c>
      <c r="BI155" s="29">
        <v>0</v>
      </c>
      <c r="BJ155" s="183">
        <f t="shared" si="48"/>
        <v>0</v>
      </c>
      <c r="BK155" s="183">
        <f t="shared" si="49"/>
        <v>0</v>
      </c>
      <c r="BL155" s="183">
        <f>$BO$9+SUMPRODUCT($D$10:D155,$BK$10:BK155)</f>
        <v>1415140212.4136899</v>
      </c>
      <c r="BM155" s="30">
        <f t="shared" si="50"/>
        <v>4.3</v>
      </c>
      <c r="BN155" s="183">
        <f t="shared" si="53"/>
        <v>27258920107.171902</v>
      </c>
      <c r="BO155" s="184">
        <f t="shared" si="51"/>
        <v>661187294692.56494</v>
      </c>
      <c r="BP155" s="41">
        <f t="shared" si="54"/>
        <v>0</v>
      </c>
      <c r="BQ155" s="41">
        <f t="shared" si="55"/>
        <v>0</v>
      </c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x14ac:dyDescent="0.25">
      <c r="A156" s="185">
        <f t="shared" si="57"/>
        <v>147</v>
      </c>
      <c r="B156" s="186">
        <f t="shared" si="57"/>
        <v>2166</v>
      </c>
      <c r="C156" s="29">
        <v>4.3</v>
      </c>
      <c r="D156" s="183">
        <f t="shared" si="56"/>
        <v>2.0600000000000002E-3</v>
      </c>
      <c r="E156" s="29">
        <v>0</v>
      </c>
      <c r="F156" s="183">
        <f t="shared" si="38"/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183">
        <f t="shared" si="41"/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183">
        <f t="shared" si="42"/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183">
        <f t="shared" si="43"/>
        <v>0</v>
      </c>
      <c r="AD156" s="29">
        <v>0</v>
      </c>
      <c r="AE156" s="29">
        <v>0</v>
      </c>
      <c r="AF156" s="29">
        <v>0</v>
      </c>
      <c r="AG156" s="29">
        <v>0</v>
      </c>
      <c r="AH156" s="183">
        <f t="shared" si="44"/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183">
        <f t="shared" si="45"/>
        <v>0</v>
      </c>
      <c r="AS156" s="183">
        <f t="shared" si="46"/>
        <v>0</v>
      </c>
      <c r="AT156" s="29">
        <v>0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183">
        <f t="shared" si="47"/>
        <v>0</v>
      </c>
      <c r="BA156" s="29">
        <v>0</v>
      </c>
      <c r="BB156" s="29">
        <v>0</v>
      </c>
      <c r="BC156" s="29">
        <v>0</v>
      </c>
      <c r="BD156" s="29">
        <v>0</v>
      </c>
      <c r="BE156" s="29">
        <v>0</v>
      </c>
      <c r="BF156" s="29">
        <v>0</v>
      </c>
      <c r="BG156" s="29">
        <v>0</v>
      </c>
      <c r="BH156" s="29">
        <v>0</v>
      </c>
      <c r="BI156" s="29">
        <v>0</v>
      </c>
      <c r="BJ156" s="183">
        <f t="shared" si="48"/>
        <v>0</v>
      </c>
      <c r="BK156" s="183">
        <f t="shared" si="49"/>
        <v>0</v>
      </c>
      <c r="BL156" s="183">
        <f>$BO$9+SUMPRODUCT($D$10:D156,$BK$10:BK156)</f>
        <v>1415140212.4136899</v>
      </c>
      <c r="BM156" s="30">
        <f t="shared" si="50"/>
        <v>4.3</v>
      </c>
      <c r="BN156" s="183">
        <f t="shared" si="53"/>
        <v>28431053671.7803</v>
      </c>
      <c r="BO156" s="184">
        <f t="shared" si="51"/>
        <v>689618348364.34497</v>
      </c>
      <c r="BP156" s="41">
        <f t="shared" si="54"/>
        <v>0</v>
      </c>
      <c r="BQ156" s="41">
        <f t="shared" si="55"/>
        <v>0</v>
      </c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x14ac:dyDescent="0.25">
      <c r="A157" s="185">
        <f t="shared" si="57"/>
        <v>148</v>
      </c>
      <c r="B157" s="186">
        <f t="shared" si="57"/>
        <v>2167</v>
      </c>
      <c r="C157" s="29">
        <v>4.3</v>
      </c>
      <c r="D157" s="183">
        <f t="shared" si="56"/>
        <v>1.98E-3</v>
      </c>
      <c r="E157" s="29">
        <v>0</v>
      </c>
      <c r="F157" s="183">
        <f t="shared" si="38"/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183">
        <f t="shared" si="41"/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183">
        <f t="shared" si="42"/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183">
        <f t="shared" si="43"/>
        <v>0</v>
      </c>
      <c r="AD157" s="29">
        <v>0</v>
      </c>
      <c r="AE157" s="29">
        <v>0</v>
      </c>
      <c r="AF157" s="29">
        <v>0</v>
      </c>
      <c r="AG157" s="29">
        <v>0</v>
      </c>
      <c r="AH157" s="183">
        <f t="shared" si="44"/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183">
        <f t="shared" si="45"/>
        <v>0</v>
      </c>
      <c r="AS157" s="183">
        <f t="shared" si="46"/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183">
        <f t="shared" si="47"/>
        <v>0</v>
      </c>
      <c r="BA157" s="29">
        <v>0</v>
      </c>
      <c r="BB157" s="29">
        <v>0</v>
      </c>
      <c r="BC157" s="29">
        <v>0</v>
      </c>
      <c r="BD157" s="29">
        <v>0</v>
      </c>
      <c r="BE157" s="29">
        <v>0</v>
      </c>
      <c r="BF157" s="29">
        <v>0</v>
      </c>
      <c r="BG157" s="29">
        <v>0</v>
      </c>
      <c r="BH157" s="29">
        <v>0</v>
      </c>
      <c r="BI157" s="29">
        <v>0</v>
      </c>
      <c r="BJ157" s="183">
        <f t="shared" si="48"/>
        <v>0</v>
      </c>
      <c r="BK157" s="183">
        <f t="shared" si="49"/>
        <v>0</v>
      </c>
      <c r="BL157" s="183">
        <f>$BO$9+SUMPRODUCT($D$10:D157,$BK$10:BK157)</f>
        <v>1415140212.4136899</v>
      </c>
      <c r="BM157" s="30">
        <f t="shared" si="50"/>
        <v>4.3</v>
      </c>
      <c r="BN157" s="183">
        <f t="shared" si="53"/>
        <v>29653588979.666801</v>
      </c>
      <c r="BO157" s="184">
        <f t="shared" si="51"/>
        <v>719271937344.01196</v>
      </c>
      <c r="BP157" s="41">
        <f t="shared" si="54"/>
        <v>0</v>
      </c>
      <c r="BQ157" s="41">
        <f t="shared" si="55"/>
        <v>0</v>
      </c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x14ac:dyDescent="0.25">
      <c r="A158" s="185">
        <f t="shared" si="57"/>
        <v>149</v>
      </c>
      <c r="B158" s="186">
        <f t="shared" si="57"/>
        <v>2168</v>
      </c>
      <c r="C158" s="29">
        <v>4.3</v>
      </c>
      <c r="D158" s="183">
        <f t="shared" si="56"/>
        <v>1.9E-3</v>
      </c>
      <c r="E158" s="29">
        <v>0</v>
      </c>
      <c r="F158" s="183">
        <f t="shared" si="38"/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183">
        <f t="shared" si="41"/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183">
        <f t="shared" si="42"/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183">
        <f t="shared" si="43"/>
        <v>0</v>
      </c>
      <c r="AD158" s="29">
        <v>0</v>
      </c>
      <c r="AE158" s="29">
        <v>0</v>
      </c>
      <c r="AF158" s="29">
        <v>0</v>
      </c>
      <c r="AG158" s="29">
        <v>0</v>
      </c>
      <c r="AH158" s="183">
        <f t="shared" si="44"/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183">
        <f t="shared" si="45"/>
        <v>0</v>
      </c>
      <c r="AS158" s="183">
        <f t="shared" si="46"/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183">
        <f t="shared" si="47"/>
        <v>0</v>
      </c>
      <c r="BA158" s="29">
        <v>0</v>
      </c>
      <c r="BB158" s="29">
        <v>0</v>
      </c>
      <c r="BC158" s="29">
        <v>0</v>
      </c>
      <c r="BD158" s="29">
        <v>0</v>
      </c>
      <c r="BE158" s="29">
        <v>0</v>
      </c>
      <c r="BF158" s="29">
        <v>0</v>
      </c>
      <c r="BG158" s="29">
        <v>0</v>
      </c>
      <c r="BH158" s="29">
        <v>0</v>
      </c>
      <c r="BI158" s="29">
        <v>0</v>
      </c>
      <c r="BJ158" s="183">
        <f t="shared" si="48"/>
        <v>0</v>
      </c>
      <c r="BK158" s="183">
        <f t="shared" si="49"/>
        <v>0</v>
      </c>
      <c r="BL158" s="183">
        <f>$BO$9+SUMPRODUCT($D$10:D158,$BK$10:BK158)</f>
        <v>1415140212.4136899</v>
      </c>
      <c r="BM158" s="30">
        <f t="shared" si="50"/>
        <v>4.3</v>
      </c>
      <c r="BN158" s="183">
        <f t="shared" si="53"/>
        <v>30928693305.7925</v>
      </c>
      <c r="BO158" s="184">
        <f t="shared" si="51"/>
        <v>750200630649.80396</v>
      </c>
      <c r="BP158" s="41">
        <f t="shared" si="54"/>
        <v>0</v>
      </c>
      <c r="BQ158" s="41">
        <f t="shared" si="55"/>
        <v>0</v>
      </c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6.5" thickBot="1" x14ac:dyDescent="0.3">
      <c r="A159" s="187">
        <f t="shared" si="57"/>
        <v>150</v>
      </c>
      <c r="B159" s="188">
        <f t="shared" si="57"/>
        <v>2169</v>
      </c>
      <c r="C159" s="29">
        <v>4.3</v>
      </c>
      <c r="D159" s="183">
        <f t="shared" ref="D159" si="58">(1+C159/100)^-1*D158</f>
        <v>1.8216682646212848E-3</v>
      </c>
      <c r="E159" s="29">
        <v>0</v>
      </c>
      <c r="F159" s="183">
        <f t="shared" si="38"/>
        <v>0</v>
      </c>
      <c r="G159" s="189">
        <v>0</v>
      </c>
      <c r="H159" s="189">
        <v>0</v>
      </c>
      <c r="I159" s="189">
        <v>0</v>
      </c>
      <c r="J159" s="189">
        <v>0</v>
      </c>
      <c r="K159" s="189">
        <v>0</v>
      </c>
      <c r="L159" s="29">
        <v>0</v>
      </c>
      <c r="M159" s="183">
        <f t="shared" si="41"/>
        <v>0</v>
      </c>
      <c r="N159" s="189">
        <v>0</v>
      </c>
      <c r="O159" s="189">
        <v>0</v>
      </c>
      <c r="P159" s="189">
        <v>0</v>
      </c>
      <c r="Q159" s="29">
        <v>0</v>
      </c>
      <c r="R159" s="29">
        <v>0</v>
      </c>
      <c r="S159" s="29">
        <v>0</v>
      </c>
      <c r="T159" s="189">
        <v>0</v>
      </c>
      <c r="U159" s="183">
        <f t="shared" si="42"/>
        <v>0</v>
      </c>
      <c r="V159" s="189">
        <v>0</v>
      </c>
      <c r="W159" s="189">
        <v>0</v>
      </c>
      <c r="X159" s="189">
        <v>0</v>
      </c>
      <c r="Y159" s="189">
        <v>0</v>
      </c>
      <c r="Z159" s="189">
        <v>0</v>
      </c>
      <c r="AA159" s="189">
        <v>0</v>
      </c>
      <c r="AB159" s="189">
        <v>0</v>
      </c>
      <c r="AC159" s="183">
        <f t="shared" si="43"/>
        <v>0</v>
      </c>
      <c r="AD159" s="189">
        <v>0</v>
      </c>
      <c r="AE159" s="189">
        <v>0</v>
      </c>
      <c r="AF159" s="189">
        <v>0</v>
      </c>
      <c r="AG159" s="189">
        <v>0</v>
      </c>
      <c r="AH159" s="183">
        <f t="shared" si="44"/>
        <v>0</v>
      </c>
      <c r="AI159" s="189">
        <v>0</v>
      </c>
      <c r="AJ159" s="189">
        <v>0</v>
      </c>
      <c r="AK159" s="189">
        <v>0</v>
      </c>
      <c r="AL159" s="189">
        <v>0</v>
      </c>
      <c r="AM159" s="189">
        <v>0</v>
      </c>
      <c r="AN159" s="189">
        <v>0</v>
      </c>
      <c r="AO159" s="189">
        <v>0</v>
      </c>
      <c r="AP159" s="189">
        <v>0</v>
      </c>
      <c r="AQ159" s="189">
        <v>0</v>
      </c>
      <c r="AR159" s="183">
        <f t="shared" si="45"/>
        <v>0</v>
      </c>
      <c r="AS159" s="183">
        <f t="shared" si="46"/>
        <v>0</v>
      </c>
      <c r="AT159" s="189">
        <v>0</v>
      </c>
      <c r="AU159" s="189">
        <v>0</v>
      </c>
      <c r="AV159" s="189">
        <v>0</v>
      </c>
      <c r="AW159" s="189">
        <v>0</v>
      </c>
      <c r="AX159" s="189">
        <v>0</v>
      </c>
      <c r="AY159" s="189">
        <v>0</v>
      </c>
      <c r="AZ159" s="183">
        <f t="shared" si="47"/>
        <v>0</v>
      </c>
      <c r="BA159" s="189">
        <v>0</v>
      </c>
      <c r="BB159" s="189">
        <v>0</v>
      </c>
      <c r="BC159" s="189">
        <v>0</v>
      </c>
      <c r="BD159" s="189">
        <v>0</v>
      </c>
      <c r="BE159" s="189">
        <v>0</v>
      </c>
      <c r="BF159" s="189">
        <v>0</v>
      </c>
      <c r="BG159" s="189">
        <v>0</v>
      </c>
      <c r="BH159" s="189">
        <v>0</v>
      </c>
      <c r="BI159" s="189">
        <v>0</v>
      </c>
      <c r="BJ159" s="183">
        <f t="shared" si="48"/>
        <v>0</v>
      </c>
      <c r="BK159" s="183">
        <f t="shared" si="49"/>
        <v>0</v>
      </c>
      <c r="BL159" s="183">
        <f>$BO$9+SUMPRODUCT($D$10:D159,$BK$10:BK159)</f>
        <v>1415140212.4136899</v>
      </c>
      <c r="BM159" s="30">
        <f t="shared" si="50"/>
        <v>4.3</v>
      </c>
      <c r="BN159" s="183">
        <f t="shared" si="53"/>
        <v>32258627117.941601</v>
      </c>
      <c r="BO159" s="184">
        <f t="shared" si="51"/>
        <v>782459257767.74597</v>
      </c>
      <c r="BP159" s="41">
        <f t="shared" si="54"/>
        <v>0</v>
      </c>
      <c r="BQ159" s="41">
        <f t="shared" si="55"/>
        <v>0</v>
      </c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s="198" customFormat="1" ht="16.5" thickBot="1" x14ac:dyDescent="0.3">
      <c r="A160" s="190" t="s">
        <v>76</v>
      </c>
      <c r="B160" s="191"/>
      <c r="C160" s="192"/>
      <c r="D160" s="193"/>
      <c r="E160" s="194">
        <f t="shared" ref="E160:AJ160" si="59">ROUND(SUM(E10:E159),2)</f>
        <v>7393564651.7399998</v>
      </c>
      <c r="F160" s="194">
        <f t="shared" si="59"/>
        <v>468621187.72000003</v>
      </c>
      <c r="G160" s="194">
        <f t="shared" si="59"/>
        <v>468621187.72000003</v>
      </c>
      <c r="H160" s="194">
        <f t="shared" si="59"/>
        <v>0</v>
      </c>
      <c r="I160" s="194">
        <f t="shared" si="59"/>
        <v>0</v>
      </c>
      <c r="J160" s="194">
        <f t="shared" si="59"/>
        <v>0</v>
      </c>
      <c r="K160" s="194">
        <f t="shared" si="59"/>
        <v>0</v>
      </c>
      <c r="L160" s="194">
        <f t="shared" si="59"/>
        <v>0</v>
      </c>
      <c r="M160" s="194">
        <f t="shared" si="59"/>
        <v>2218069483.4099998</v>
      </c>
      <c r="N160" s="194">
        <f t="shared" si="59"/>
        <v>2218069483.4099998</v>
      </c>
      <c r="O160" s="194">
        <f t="shared" si="59"/>
        <v>0</v>
      </c>
      <c r="P160" s="194">
        <f t="shared" si="59"/>
        <v>0</v>
      </c>
      <c r="Q160" s="194">
        <f t="shared" si="59"/>
        <v>0</v>
      </c>
      <c r="R160" s="194">
        <f t="shared" si="59"/>
        <v>0</v>
      </c>
      <c r="S160" s="194">
        <f t="shared" si="59"/>
        <v>0</v>
      </c>
      <c r="T160" s="194">
        <f t="shared" si="59"/>
        <v>0</v>
      </c>
      <c r="U160" s="194">
        <f t="shared" si="59"/>
        <v>1035099055.21</v>
      </c>
      <c r="V160" s="194">
        <f t="shared" si="59"/>
        <v>1035099055.21</v>
      </c>
      <c r="W160" s="194">
        <f t="shared" si="59"/>
        <v>0</v>
      </c>
      <c r="X160" s="194">
        <f t="shared" si="59"/>
        <v>0</v>
      </c>
      <c r="Y160" s="194">
        <f t="shared" si="59"/>
        <v>0</v>
      </c>
      <c r="Z160" s="194">
        <f t="shared" si="59"/>
        <v>0</v>
      </c>
      <c r="AA160" s="194">
        <f t="shared" si="59"/>
        <v>0</v>
      </c>
      <c r="AB160" s="194">
        <f t="shared" si="59"/>
        <v>0</v>
      </c>
      <c r="AC160" s="194">
        <f t="shared" si="59"/>
        <v>93742567.650000006</v>
      </c>
      <c r="AD160" s="194">
        <f t="shared" si="59"/>
        <v>93742567.650000006</v>
      </c>
      <c r="AE160" s="194">
        <f t="shared" si="59"/>
        <v>0</v>
      </c>
      <c r="AF160" s="194">
        <f t="shared" si="59"/>
        <v>0</v>
      </c>
      <c r="AG160" s="194">
        <f t="shared" si="59"/>
        <v>0</v>
      </c>
      <c r="AH160" s="194">
        <f t="shared" si="59"/>
        <v>88863945.590000004</v>
      </c>
      <c r="AI160" s="194">
        <f t="shared" si="59"/>
        <v>88863945.590000004</v>
      </c>
      <c r="AJ160" s="194">
        <f t="shared" si="59"/>
        <v>0</v>
      </c>
      <c r="AK160" s="194">
        <f t="shared" ref="AK160:BK160" si="60">ROUND(SUM(AK10:AK159),2)</f>
        <v>0</v>
      </c>
      <c r="AL160" s="194">
        <f t="shared" si="60"/>
        <v>0</v>
      </c>
      <c r="AM160" s="194">
        <f t="shared" si="60"/>
        <v>0</v>
      </c>
      <c r="AN160" s="194">
        <f t="shared" si="60"/>
        <v>3223486812.0599999</v>
      </c>
      <c r="AO160" s="194">
        <f t="shared" si="60"/>
        <v>0</v>
      </c>
      <c r="AP160" s="194">
        <f t="shared" si="60"/>
        <v>0</v>
      </c>
      <c r="AQ160" s="194">
        <f t="shared" si="60"/>
        <v>25147070118</v>
      </c>
      <c r="AR160" s="194">
        <f t="shared" si="60"/>
        <v>32274953169.639999</v>
      </c>
      <c r="AS160" s="194">
        <f t="shared" si="60"/>
        <v>11387099974.01</v>
      </c>
      <c r="AT160" s="194">
        <f t="shared" si="60"/>
        <v>8182408628.0200005</v>
      </c>
      <c r="AU160" s="194">
        <f t="shared" si="60"/>
        <v>0</v>
      </c>
      <c r="AV160" s="194">
        <f t="shared" si="60"/>
        <v>0</v>
      </c>
      <c r="AW160" s="194">
        <f t="shared" si="60"/>
        <v>0</v>
      </c>
      <c r="AX160" s="194">
        <f t="shared" si="60"/>
        <v>3204691345.98</v>
      </c>
      <c r="AY160" s="194">
        <f t="shared" si="60"/>
        <v>0</v>
      </c>
      <c r="AZ160" s="194">
        <f t="shared" si="60"/>
        <v>11817119179.049999</v>
      </c>
      <c r="BA160" s="194">
        <f t="shared" si="60"/>
        <v>8961733846.8500004</v>
      </c>
      <c r="BB160" s="194">
        <f t="shared" si="60"/>
        <v>0</v>
      </c>
      <c r="BC160" s="194">
        <f t="shared" si="60"/>
        <v>0</v>
      </c>
      <c r="BD160" s="194">
        <f t="shared" si="60"/>
        <v>0</v>
      </c>
      <c r="BE160" s="194">
        <f t="shared" si="60"/>
        <v>0</v>
      </c>
      <c r="BF160" s="194">
        <f t="shared" si="60"/>
        <v>2255428787.0100002</v>
      </c>
      <c r="BG160" s="194">
        <f t="shared" si="60"/>
        <v>0</v>
      </c>
      <c r="BH160" s="194">
        <f t="shared" si="60"/>
        <v>0</v>
      </c>
      <c r="BI160" s="194">
        <f t="shared" si="60"/>
        <v>599956545.19000006</v>
      </c>
      <c r="BJ160" s="194">
        <f t="shared" si="60"/>
        <v>23204219153.049999</v>
      </c>
      <c r="BK160" s="194">
        <f t="shared" si="60"/>
        <v>9070734016.5799999</v>
      </c>
      <c r="BL160" s="195" t="str">
        <f>IF(AND(A1="FLUXO ATUARIAL   -   CIVIL   -   PLANO PREVIDENCIÁRIO   -   BENEFÍCIOS AVALIADOS EM REGIME FINANCEIRO DE CAPITALIZAÇÃO   -   GERAÇÃO ATUAL",BL161&gt;0),"SUPERÁVIT ATUARIAL",IF(AND(A1="FLUXO ATUARIAL   -   CIVIL   -   PLANO PREVIDENCIÁRIO   -   BENEFÍCIOS AVALIADOS EM REGIME FINANCEIRO DE CAPITALIZAÇÃO   -   GERAÇÃO ATUAL",BL161=0),"EQUILÍBRIO ATUARIAL","DÉFICIT ATUARIAL"))</f>
        <v>SUPERÁVIT ATUARIAL</v>
      </c>
      <c r="BM160" s="196"/>
      <c r="BN160" s="192"/>
      <c r="BO160" s="197"/>
      <c r="BP160" s="42">
        <f>SUM(BP10:BP159)</f>
        <v>10361768934.489143</v>
      </c>
      <c r="BQ160" s="42">
        <f>SUM(BQ10:BQ159)</f>
        <v>151132419174.16129</v>
      </c>
    </row>
    <row r="161" spans="1:69" ht="16.5" thickBot="1" x14ac:dyDescent="0.3">
      <c r="A161" s="199" t="s">
        <v>77</v>
      </c>
      <c r="B161" s="200"/>
      <c r="C161" s="201"/>
      <c r="D161" s="202"/>
      <c r="E161" s="203">
        <f>ROUND(SUMPRODUCT($D$10:$D$159,E10:E159),2)</f>
        <v>4694909579.8100004</v>
      </c>
      <c r="F161" s="203">
        <f>ROUND(SUM(G161:J161),2)</f>
        <v>305646275.17000002</v>
      </c>
      <c r="G161" s="203">
        <f t="shared" ref="G161:L161" si="61">ROUND(SUMPRODUCT($D$10:$D$159,G10:G159),2)</f>
        <v>305646275.17000002</v>
      </c>
      <c r="H161" s="203">
        <f t="shared" si="61"/>
        <v>0</v>
      </c>
      <c r="I161" s="203">
        <f t="shared" si="61"/>
        <v>0</v>
      </c>
      <c r="J161" s="203">
        <f t="shared" si="61"/>
        <v>0</v>
      </c>
      <c r="K161" s="203">
        <f t="shared" si="61"/>
        <v>0</v>
      </c>
      <c r="L161" s="203">
        <f t="shared" si="61"/>
        <v>0</v>
      </c>
      <c r="M161" s="203">
        <f>ROUND(SUM(N161:T161),2)</f>
        <v>1408472930.1199999</v>
      </c>
      <c r="N161" s="203">
        <f t="shared" ref="N161:T161" si="62">ROUND(SUMPRODUCT($D$10:$D$159,N10:N159),2)</f>
        <v>1408472930.1199999</v>
      </c>
      <c r="O161" s="203">
        <f t="shared" si="62"/>
        <v>0</v>
      </c>
      <c r="P161" s="203">
        <f t="shared" si="62"/>
        <v>0</v>
      </c>
      <c r="Q161" s="203">
        <f t="shared" si="62"/>
        <v>0</v>
      </c>
      <c r="R161" s="203">
        <f t="shared" si="62"/>
        <v>0</v>
      </c>
      <c r="S161" s="203">
        <f t="shared" si="62"/>
        <v>0</v>
      </c>
      <c r="T161" s="203">
        <f t="shared" si="62"/>
        <v>0</v>
      </c>
      <c r="U161" s="203">
        <f>ROUND(SUM(V161:AB161),2)</f>
        <v>657287343.75999999</v>
      </c>
      <c r="V161" s="203">
        <f t="shared" ref="V161:AB161" si="63">ROUND(SUMPRODUCT($D$10:$D$159,V10:V159),2)</f>
        <v>657287343.75999999</v>
      </c>
      <c r="W161" s="203">
        <f t="shared" si="63"/>
        <v>0</v>
      </c>
      <c r="X161" s="203">
        <f t="shared" si="63"/>
        <v>0</v>
      </c>
      <c r="Y161" s="203">
        <f t="shared" si="63"/>
        <v>0</v>
      </c>
      <c r="Z161" s="203">
        <f t="shared" si="63"/>
        <v>0</v>
      </c>
      <c r="AA161" s="203">
        <f t="shared" si="63"/>
        <v>0</v>
      </c>
      <c r="AB161" s="203">
        <f t="shared" si="63"/>
        <v>0</v>
      </c>
      <c r="AC161" s="203">
        <f>ROUND(SUM(AD161:AG161),2)</f>
        <v>25900653.829999998</v>
      </c>
      <c r="AD161" s="203">
        <f>ROUND(SUMPRODUCT($D$10:$D$159,AD10:AD159),2)</f>
        <v>25900653.829999998</v>
      </c>
      <c r="AE161" s="203">
        <f>ROUND(SUMPRODUCT($D$10:$D$159,AE10:AE159),2)</f>
        <v>0</v>
      </c>
      <c r="AF161" s="203">
        <f>ROUND(SUMPRODUCT($D$10:$D$159,AF10:AF159),2)</f>
        <v>0</v>
      </c>
      <c r="AG161" s="203">
        <f>ROUND(SUMPRODUCT($D$10:$D$159,AG10:AG159),2)</f>
        <v>0</v>
      </c>
      <c r="AH161" s="203">
        <f>ROUND(SUM(AI161:AM161),2)</f>
        <v>41970783.950000003</v>
      </c>
      <c r="AI161" s="203">
        <f t="shared" ref="AI161:AQ161" si="64">ROUND(SUMPRODUCT($D$10:$D$159,AI10:AI159),2)</f>
        <v>41970783.950000003</v>
      </c>
      <c r="AJ161" s="203">
        <f t="shared" si="64"/>
        <v>0</v>
      </c>
      <c r="AK161" s="203">
        <f t="shared" si="64"/>
        <v>0</v>
      </c>
      <c r="AL161" s="203">
        <f t="shared" si="64"/>
        <v>0</v>
      </c>
      <c r="AM161" s="203">
        <f t="shared" si="64"/>
        <v>0</v>
      </c>
      <c r="AN161" s="203">
        <f t="shared" si="64"/>
        <v>1022088832.38</v>
      </c>
      <c r="AO161" s="203">
        <f t="shared" si="64"/>
        <v>0</v>
      </c>
      <c r="AP161" s="203">
        <f t="shared" si="64"/>
        <v>0</v>
      </c>
      <c r="AQ161" s="203">
        <f t="shared" si="64"/>
        <v>7586615405.1099997</v>
      </c>
      <c r="AR161" s="203">
        <f>ROUND(F161+K161+L161+M161+U161+AC161+AH161+AN161+AO161+AP161+AQ161,2)</f>
        <v>11047982224.32</v>
      </c>
      <c r="AS161" s="203">
        <f>ROUND(SUM(AT161:AY161),2)</f>
        <v>7210398459.75</v>
      </c>
      <c r="AT161" s="203">
        <f t="shared" ref="AT161:AY161" si="65">ROUND(SUMPRODUCT($D$10:$D$159,AT10:AT159),2)</f>
        <v>5323079526.6400003</v>
      </c>
      <c r="AU161" s="203">
        <f t="shared" si="65"/>
        <v>0</v>
      </c>
      <c r="AV161" s="203">
        <f t="shared" si="65"/>
        <v>0</v>
      </c>
      <c r="AW161" s="203">
        <f t="shared" si="65"/>
        <v>0</v>
      </c>
      <c r="AX161" s="203">
        <f t="shared" si="65"/>
        <v>1887318933.1099999</v>
      </c>
      <c r="AY161" s="203">
        <f t="shared" si="65"/>
        <v>0</v>
      </c>
      <c r="AZ161" s="203">
        <f>ROUND(SUM(BA161:BI161),2)</f>
        <v>3308880285.6599998</v>
      </c>
      <c r="BA161" s="203">
        <f t="shared" ref="BA161:BI161" si="66">ROUND(SUMPRODUCT($D$10:$D$159,BA10:BA159),2)</f>
        <v>2492677458.1199999</v>
      </c>
      <c r="BB161" s="203">
        <f t="shared" si="66"/>
        <v>0</v>
      </c>
      <c r="BC161" s="203">
        <f t="shared" si="66"/>
        <v>0</v>
      </c>
      <c r="BD161" s="203">
        <f t="shared" si="66"/>
        <v>0</v>
      </c>
      <c r="BE161" s="203">
        <f t="shared" si="66"/>
        <v>0</v>
      </c>
      <c r="BF161" s="203">
        <f t="shared" si="66"/>
        <v>517885409.39999998</v>
      </c>
      <c r="BG161" s="203">
        <f t="shared" si="66"/>
        <v>0</v>
      </c>
      <c r="BH161" s="203">
        <f t="shared" si="66"/>
        <v>0</v>
      </c>
      <c r="BI161" s="203">
        <f t="shared" si="66"/>
        <v>298317418.13999999</v>
      </c>
      <c r="BJ161" s="203">
        <f>ROUND(AS161+AZ161,2)</f>
        <v>10519278745.41</v>
      </c>
      <c r="BK161" s="203">
        <f>ROUND(AR161-BJ161,2)</f>
        <v>528703478.91000003</v>
      </c>
      <c r="BL161" s="31">
        <f>ROUND(BO9,2)+BK161</f>
        <v>1415140212.4200001</v>
      </c>
      <c r="BM161" s="204"/>
      <c r="BN161" s="201"/>
      <c r="BO161" s="205"/>
      <c r="BP161" s="43"/>
      <c r="BQ161" s="43"/>
    </row>
  </sheetData>
  <sheetProtection algorithmName="SHA-512" hashValue="Dq3Eg58AYZMd59ZDGGjUvGDczWTUD9xUwNnsYoa4kLIyXKlBCafZImnqC5L+RQd6TcZbASA7bQBlrM6/o1Pw3g==" saltValue="Q4VH7z2zBVfWwfDSz9A5SA==" spinCount="100000" sheet="1" formatCells="0" formatColumns="0" formatRows="0" insertColumns="0" insertRows="0" insertHyperlinks="0" deleteColumns="0" deleteRows="0" sort="0" autoFilter="0" pivotTables="0"/>
  <mergeCells count="1">
    <mergeCell ref="A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21"/>
  <sheetViews>
    <sheetView showGridLines="0" zoomScale="145" zoomScaleNormal="145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F13" sqref="F13"/>
    </sheetView>
  </sheetViews>
  <sheetFormatPr defaultColWidth="0" defaultRowHeight="12.75" zeroHeight="1" x14ac:dyDescent="0.2"/>
  <cols>
    <col min="1" max="1" width="60.7109375" style="97" customWidth="1"/>
    <col min="2" max="4" width="9.140625" style="97" customWidth="1"/>
    <col min="5" max="5" width="5" style="97" customWidth="1"/>
    <col min="6" max="6" width="34.5703125" style="97" customWidth="1"/>
    <col min="7" max="7" width="9.140625" style="97" customWidth="1"/>
    <col min="8" max="256" width="9.140625" style="97" hidden="1"/>
    <col min="257" max="257" width="60.7109375" style="97" hidden="1"/>
    <col min="258" max="260" width="9.140625" style="97" hidden="1"/>
    <col min="261" max="261" width="5" style="97" hidden="1"/>
    <col min="262" max="262" width="35.7109375" style="97" hidden="1"/>
    <col min="263" max="512" width="9.140625" style="97" hidden="1"/>
    <col min="513" max="513" width="60.7109375" style="97" hidden="1"/>
    <col min="514" max="516" width="9.140625" style="97" hidden="1"/>
    <col min="517" max="517" width="5" style="97" hidden="1"/>
    <col min="518" max="518" width="35.7109375" style="97" hidden="1"/>
    <col min="519" max="768" width="9.140625" style="97" hidden="1"/>
    <col min="769" max="769" width="60.7109375" style="97" hidden="1"/>
    <col min="770" max="772" width="9.140625" style="97" hidden="1"/>
    <col min="773" max="773" width="5" style="97" hidden="1"/>
    <col min="774" max="774" width="35.7109375" style="97" hidden="1"/>
    <col min="775" max="1024" width="9.140625" style="97" hidden="1"/>
    <col min="1025" max="1025" width="60.7109375" style="97" hidden="1"/>
    <col min="1026" max="1028" width="9.140625" style="97" hidden="1"/>
    <col min="1029" max="1029" width="5" style="97" hidden="1"/>
    <col min="1030" max="1030" width="35.7109375" style="97" hidden="1"/>
    <col min="1031" max="1280" width="9.140625" style="97" hidden="1"/>
    <col min="1281" max="1281" width="60.7109375" style="97" hidden="1"/>
    <col min="1282" max="1284" width="9.140625" style="97" hidden="1"/>
    <col min="1285" max="1285" width="5" style="97" hidden="1"/>
    <col min="1286" max="1286" width="35.7109375" style="97" hidden="1"/>
    <col min="1287" max="1536" width="9.140625" style="97" hidden="1"/>
    <col min="1537" max="1537" width="60.7109375" style="97" hidden="1"/>
    <col min="1538" max="1540" width="9.140625" style="97" hidden="1"/>
    <col min="1541" max="1541" width="5" style="97" hidden="1"/>
    <col min="1542" max="1542" width="35.7109375" style="97" hidden="1"/>
    <col min="1543" max="1792" width="9.140625" style="97" hidden="1"/>
    <col min="1793" max="1793" width="60.7109375" style="97" hidden="1"/>
    <col min="1794" max="1796" width="9.140625" style="97" hidden="1"/>
    <col min="1797" max="1797" width="5" style="97" hidden="1"/>
    <col min="1798" max="1798" width="35.7109375" style="97" hidden="1"/>
    <col min="1799" max="2048" width="9.140625" style="97" hidden="1"/>
    <col min="2049" max="2049" width="60.7109375" style="97" hidden="1"/>
    <col min="2050" max="2052" width="9.140625" style="97" hidden="1"/>
    <col min="2053" max="2053" width="5" style="97" hidden="1"/>
    <col min="2054" max="2054" width="35.7109375" style="97" hidden="1"/>
    <col min="2055" max="2304" width="9.140625" style="97" hidden="1"/>
    <col min="2305" max="2305" width="60.7109375" style="97" hidden="1"/>
    <col min="2306" max="2308" width="9.140625" style="97" hidden="1"/>
    <col min="2309" max="2309" width="5" style="97" hidden="1"/>
    <col min="2310" max="2310" width="35.7109375" style="97" hidden="1"/>
    <col min="2311" max="2560" width="9.140625" style="97" hidden="1"/>
    <col min="2561" max="2561" width="60.7109375" style="97" hidden="1"/>
    <col min="2562" max="2564" width="9.140625" style="97" hidden="1"/>
    <col min="2565" max="2565" width="5" style="97" hidden="1"/>
    <col min="2566" max="2566" width="35.7109375" style="97" hidden="1"/>
    <col min="2567" max="2816" width="9.140625" style="97" hidden="1"/>
    <col min="2817" max="2817" width="60.7109375" style="97" hidden="1"/>
    <col min="2818" max="2820" width="9.140625" style="97" hidden="1"/>
    <col min="2821" max="2821" width="5" style="97" hidden="1"/>
    <col min="2822" max="2822" width="35.7109375" style="97" hidden="1"/>
    <col min="2823" max="3072" width="9.140625" style="97" hidden="1"/>
    <col min="3073" max="3073" width="60.7109375" style="97" hidden="1"/>
    <col min="3074" max="3076" width="9.140625" style="97" hidden="1"/>
    <col min="3077" max="3077" width="5" style="97" hidden="1"/>
    <col min="3078" max="3078" width="35.7109375" style="97" hidden="1"/>
    <col min="3079" max="3328" width="9.140625" style="97" hidden="1"/>
    <col min="3329" max="3329" width="60.7109375" style="97" hidden="1"/>
    <col min="3330" max="3332" width="9.140625" style="97" hidden="1"/>
    <col min="3333" max="3333" width="5" style="97" hidden="1"/>
    <col min="3334" max="3334" width="35.7109375" style="97" hidden="1"/>
    <col min="3335" max="3584" width="9.140625" style="97" hidden="1"/>
    <col min="3585" max="3585" width="60.7109375" style="97" hidden="1"/>
    <col min="3586" max="3588" width="9.140625" style="97" hidden="1"/>
    <col min="3589" max="3589" width="5" style="97" hidden="1"/>
    <col min="3590" max="3590" width="35.7109375" style="97" hidden="1"/>
    <col min="3591" max="3840" width="9.140625" style="97" hidden="1"/>
    <col min="3841" max="3841" width="60.7109375" style="97" hidden="1"/>
    <col min="3842" max="3844" width="9.140625" style="97" hidden="1"/>
    <col min="3845" max="3845" width="5" style="97" hidden="1"/>
    <col min="3846" max="3846" width="35.7109375" style="97" hidden="1"/>
    <col min="3847" max="4096" width="9.140625" style="97" hidden="1"/>
    <col min="4097" max="4097" width="60.7109375" style="97" hidden="1"/>
    <col min="4098" max="4100" width="9.140625" style="97" hidden="1"/>
    <col min="4101" max="4101" width="5" style="97" hidden="1"/>
    <col min="4102" max="4102" width="35.7109375" style="97" hidden="1"/>
    <col min="4103" max="4352" width="9.140625" style="97" hidden="1"/>
    <col min="4353" max="4353" width="60.7109375" style="97" hidden="1"/>
    <col min="4354" max="4356" width="9.140625" style="97" hidden="1"/>
    <col min="4357" max="4357" width="5" style="97" hidden="1"/>
    <col min="4358" max="4358" width="35.7109375" style="97" hidden="1"/>
    <col min="4359" max="4608" width="9.140625" style="97" hidden="1"/>
    <col min="4609" max="4609" width="60.7109375" style="97" hidden="1"/>
    <col min="4610" max="4612" width="9.140625" style="97" hidden="1"/>
    <col min="4613" max="4613" width="5" style="97" hidden="1"/>
    <col min="4614" max="4614" width="35.7109375" style="97" hidden="1"/>
    <col min="4615" max="4864" width="9.140625" style="97" hidden="1"/>
    <col min="4865" max="4865" width="60.7109375" style="97" hidden="1"/>
    <col min="4866" max="4868" width="9.140625" style="97" hidden="1"/>
    <col min="4869" max="4869" width="5" style="97" hidden="1"/>
    <col min="4870" max="4870" width="35.7109375" style="97" hidden="1"/>
    <col min="4871" max="5120" width="9.140625" style="97" hidden="1"/>
    <col min="5121" max="5121" width="60.7109375" style="97" hidden="1"/>
    <col min="5122" max="5124" width="9.140625" style="97" hidden="1"/>
    <col min="5125" max="5125" width="5" style="97" hidden="1"/>
    <col min="5126" max="5126" width="35.7109375" style="97" hidden="1"/>
    <col min="5127" max="5376" width="9.140625" style="97" hidden="1"/>
    <col min="5377" max="5377" width="60.7109375" style="97" hidden="1"/>
    <col min="5378" max="5380" width="9.140625" style="97" hidden="1"/>
    <col min="5381" max="5381" width="5" style="97" hidden="1"/>
    <col min="5382" max="5382" width="35.7109375" style="97" hidden="1"/>
    <col min="5383" max="5632" width="9.140625" style="97" hidden="1"/>
    <col min="5633" max="5633" width="60.7109375" style="97" hidden="1"/>
    <col min="5634" max="5636" width="9.140625" style="97" hidden="1"/>
    <col min="5637" max="5637" width="5" style="97" hidden="1"/>
    <col min="5638" max="5638" width="35.7109375" style="97" hidden="1"/>
    <col min="5639" max="5888" width="9.140625" style="97" hidden="1"/>
    <col min="5889" max="5889" width="60.7109375" style="97" hidden="1"/>
    <col min="5890" max="5892" width="9.140625" style="97" hidden="1"/>
    <col min="5893" max="5893" width="5" style="97" hidden="1"/>
    <col min="5894" max="5894" width="35.7109375" style="97" hidden="1"/>
    <col min="5895" max="6144" width="9.140625" style="97" hidden="1"/>
    <col min="6145" max="6145" width="60.7109375" style="97" hidden="1"/>
    <col min="6146" max="6148" width="9.140625" style="97" hidden="1"/>
    <col min="6149" max="6149" width="5" style="97" hidden="1"/>
    <col min="6150" max="6150" width="35.7109375" style="97" hidden="1"/>
    <col min="6151" max="6400" width="9.140625" style="97" hidden="1"/>
    <col min="6401" max="6401" width="60.7109375" style="97" hidden="1"/>
    <col min="6402" max="6404" width="9.140625" style="97" hidden="1"/>
    <col min="6405" max="6405" width="5" style="97" hidden="1"/>
    <col min="6406" max="6406" width="35.7109375" style="97" hidden="1"/>
    <col min="6407" max="6656" width="9.140625" style="97" hidden="1"/>
    <col min="6657" max="6657" width="60.7109375" style="97" hidden="1"/>
    <col min="6658" max="6660" width="9.140625" style="97" hidden="1"/>
    <col min="6661" max="6661" width="5" style="97" hidden="1"/>
    <col min="6662" max="6662" width="35.7109375" style="97" hidden="1"/>
    <col min="6663" max="6912" width="9.140625" style="97" hidden="1"/>
    <col min="6913" max="6913" width="60.7109375" style="97" hidden="1"/>
    <col min="6914" max="6916" width="9.140625" style="97" hidden="1"/>
    <col min="6917" max="6917" width="5" style="97" hidden="1"/>
    <col min="6918" max="6918" width="35.7109375" style="97" hidden="1"/>
    <col min="6919" max="7168" width="9.140625" style="97" hidden="1"/>
    <col min="7169" max="7169" width="60.7109375" style="97" hidden="1"/>
    <col min="7170" max="7172" width="9.140625" style="97" hidden="1"/>
    <col min="7173" max="7173" width="5" style="97" hidden="1"/>
    <col min="7174" max="7174" width="35.7109375" style="97" hidden="1"/>
    <col min="7175" max="7424" width="9.140625" style="97" hidden="1"/>
    <col min="7425" max="7425" width="60.7109375" style="97" hidden="1"/>
    <col min="7426" max="7428" width="9.140625" style="97" hidden="1"/>
    <col min="7429" max="7429" width="5" style="97" hidden="1"/>
    <col min="7430" max="7430" width="35.7109375" style="97" hidden="1"/>
    <col min="7431" max="7680" width="9.140625" style="97" hidden="1"/>
    <col min="7681" max="7681" width="60.7109375" style="97" hidden="1"/>
    <col min="7682" max="7684" width="9.140625" style="97" hidden="1"/>
    <col min="7685" max="7685" width="5" style="97" hidden="1"/>
    <col min="7686" max="7686" width="35.7109375" style="97" hidden="1"/>
    <col min="7687" max="7936" width="9.140625" style="97" hidden="1"/>
    <col min="7937" max="7937" width="60.7109375" style="97" hidden="1"/>
    <col min="7938" max="7940" width="9.140625" style="97" hidden="1"/>
    <col min="7941" max="7941" width="5" style="97" hidden="1"/>
    <col min="7942" max="7942" width="35.7109375" style="97" hidden="1"/>
    <col min="7943" max="8192" width="9.140625" style="97" hidden="1"/>
    <col min="8193" max="8193" width="60.7109375" style="97" hidden="1"/>
    <col min="8194" max="8196" width="9.140625" style="97" hidden="1"/>
    <col min="8197" max="8197" width="5" style="97" hidden="1"/>
    <col min="8198" max="8198" width="35.7109375" style="97" hidden="1"/>
    <col min="8199" max="8448" width="9.140625" style="97" hidden="1"/>
    <col min="8449" max="8449" width="60.7109375" style="97" hidden="1"/>
    <col min="8450" max="8452" width="9.140625" style="97" hidden="1"/>
    <col min="8453" max="8453" width="5" style="97" hidden="1"/>
    <col min="8454" max="8454" width="35.7109375" style="97" hidden="1"/>
    <col min="8455" max="8704" width="9.140625" style="97" hidden="1"/>
    <col min="8705" max="8705" width="60.7109375" style="97" hidden="1"/>
    <col min="8706" max="8708" width="9.140625" style="97" hidden="1"/>
    <col min="8709" max="8709" width="5" style="97" hidden="1"/>
    <col min="8710" max="8710" width="35.7109375" style="97" hidden="1"/>
    <col min="8711" max="8960" width="9.140625" style="97" hidden="1"/>
    <col min="8961" max="8961" width="60.7109375" style="97" hidden="1"/>
    <col min="8962" max="8964" width="9.140625" style="97" hidden="1"/>
    <col min="8965" max="8965" width="5" style="97" hidden="1"/>
    <col min="8966" max="8966" width="35.7109375" style="97" hidden="1"/>
    <col min="8967" max="9216" width="9.140625" style="97" hidden="1"/>
    <col min="9217" max="9217" width="60.7109375" style="97" hidden="1"/>
    <col min="9218" max="9220" width="9.140625" style="97" hidden="1"/>
    <col min="9221" max="9221" width="5" style="97" hidden="1"/>
    <col min="9222" max="9222" width="35.7109375" style="97" hidden="1"/>
    <col min="9223" max="9472" width="9.140625" style="97" hidden="1"/>
    <col min="9473" max="9473" width="60.7109375" style="97" hidden="1"/>
    <col min="9474" max="9476" width="9.140625" style="97" hidden="1"/>
    <col min="9477" max="9477" width="5" style="97" hidden="1"/>
    <col min="9478" max="9478" width="35.7109375" style="97" hidden="1"/>
    <col min="9479" max="9728" width="9.140625" style="97" hidden="1"/>
    <col min="9729" max="9729" width="60.7109375" style="97" hidden="1"/>
    <col min="9730" max="9732" width="9.140625" style="97" hidden="1"/>
    <col min="9733" max="9733" width="5" style="97" hidden="1"/>
    <col min="9734" max="9734" width="35.7109375" style="97" hidden="1"/>
    <col min="9735" max="9984" width="9.140625" style="97" hidden="1"/>
    <col min="9985" max="9985" width="60.7109375" style="97" hidden="1"/>
    <col min="9986" max="9988" width="9.140625" style="97" hidden="1"/>
    <col min="9989" max="9989" width="5" style="97" hidden="1"/>
    <col min="9990" max="9990" width="35.7109375" style="97" hidden="1"/>
    <col min="9991" max="10240" width="9.140625" style="97" hidden="1"/>
    <col min="10241" max="10241" width="60.7109375" style="97" hidden="1"/>
    <col min="10242" max="10244" width="9.140625" style="97" hidden="1"/>
    <col min="10245" max="10245" width="5" style="97" hidden="1"/>
    <col min="10246" max="10246" width="35.7109375" style="97" hidden="1"/>
    <col min="10247" max="10496" width="9.140625" style="97" hidden="1"/>
    <col min="10497" max="10497" width="60.7109375" style="97" hidden="1"/>
    <col min="10498" max="10500" width="9.140625" style="97" hidden="1"/>
    <col min="10501" max="10501" width="5" style="97" hidden="1"/>
    <col min="10502" max="10502" width="35.7109375" style="97" hidden="1"/>
    <col min="10503" max="10752" width="9.140625" style="97" hidden="1"/>
    <col min="10753" max="10753" width="60.7109375" style="97" hidden="1"/>
    <col min="10754" max="10756" width="9.140625" style="97" hidden="1"/>
    <col min="10757" max="10757" width="5" style="97" hidden="1"/>
    <col min="10758" max="10758" width="35.7109375" style="97" hidden="1"/>
    <col min="10759" max="11008" width="9.140625" style="97" hidden="1"/>
    <col min="11009" max="11009" width="60.7109375" style="97" hidden="1"/>
    <col min="11010" max="11012" width="9.140625" style="97" hidden="1"/>
    <col min="11013" max="11013" width="5" style="97" hidden="1"/>
    <col min="11014" max="11014" width="35.7109375" style="97" hidden="1"/>
    <col min="11015" max="11264" width="9.140625" style="97" hidden="1"/>
    <col min="11265" max="11265" width="60.7109375" style="97" hidden="1"/>
    <col min="11266" max="11268" width="9.140625" style="97" hidden="1"/>
    <col min="11269" max="11269" width="5" style="97" hidden="1"/>
    <col min="11270" max="11270" width="35.7109375" style="97" hidden="1"/>
    <col min="11271" max="11520" width="9.140625" style="97" hidden="1"/>
    <col min="11521" max="11521" width="60.7109375" style="97" hidden="1"/>
    <col min="11522" max="11524" width="9.140625" style="97" hidden="1"/>
    <col min="11525" max="11525" width="5" style="97" hidden="1"/>
    <col min="11526" max="11526" width="35.7109375" style="97" hidden="1"/>
    <col min="11527" max="11776" width="9.140625" style="97" hidden="1"/>
    <col min="11777" max="11777" width="60.7109375" style="97" hidden="1"/>
    <col min="11778" max="11780" width="9.140625" style="97" hidden="1"/>
    <col min="11781" max="11781" width="5" style="97" hidden="1"/>
    <col min="11782" max="11782" width="35.7109375" style="97" hidden="1"/>
    <col min="11783" max="12032" width="9.140625" style="97" hidden="1"/>
    <col min="12033" max="12033" width="60.7109375" style="97" hidden="1"/>
    <col min="12034" max="12036" width="9.140625" style="97" hidden="1"/>
    <col min="12037" max="12037" width="5" style="97" hidden="1"/>
    <col min="12038" max="12038" width="35.7109375" style="97" hidden="1"/>
    <col min="12039" max="12288" width="9.140625" style="97" hidden="1"/>
    <col min="12289" max="12289" width="60.7109375" style="97" hidden="1"/>
    <col min="12290" max="12292" width="9.140625" style="97" hidden="1"/>
    <col min="12293" max="12293" width="5" style="97" hidden="1"/>
    <col min="12294" max="12294" width="35.7109375" style="97" hidden="1"/>
    <col min="12295" max="12544" width="9.140625" style="97" hidden="1"/>
    <col min="12545" max="12545" width="60.7109375" style="97" hidden="1"/>
    <col min="12546" max="12548" width="9.140625" style="97" hidden="1"/>
    <col min="12549" max="12549" width="5" style="97" hidden="1"/>
    <col min="12550" max="12550" width="35.7109375" style="97" hidden="1"/>
    <col min="12551" max="12800" width="9.140625" style="97" hidden="1"/>
    <col min="12801" max="12801" width="60.7109375" style="97" hidden="1"/>
    <col min="12802" max="12804" width="9.140625" style="97" hidden="1"/>
    <col min="12805" max="12805" width="5" style="97" hidden="1"/>
    <col min="12806" max="12806" width="35.7109375" style="97" hidden="1"/>
    <col min="12807" max="13056" width="9.140625" style="97" hidden="1"/>
    <col min="13057" max="13057" width="60.7109375" style="97" hidden="1"/>
    <col min="13058" max="13060" width="9.140625" style="97" hidden="1"/>
    <col min="13061" max="13061" width="5" style="97" hidden="1"/>
    <col min="13062" max="13062" width="35.7109375" style="97" hidden="1"/>
    <col min="13063" max="13312" width="9.140625" style="97" hidden="1"/>
    <col min="13313" max="13313" width="60.7109375" style="97" hidden="1"/>
    <col min="13314" max="13316" width="9.140625" style="97" hidden="1"/>
    <col min="13317" max="13317" width="5" style="97" hidden="1"/>
    <col min="13318" max="13318" width="35.7109375" style="97" hidden="1"/>
    <col min="13319" max="13568" width="9.140625" style="97" hidden="1"/>
    <col min="13569" max="13569" width="60.7109375" style="97" hidden="1"/>
    <col min="13570" max="13572" width="9.140625" style="97" hidden="1"/>
    <col min="13573" max="13573" width="5" style="97" hidden="1"/>
    <col min="13574" max="13574" width="35.7109375" style="97" hidden="1"/>
    <col min="13575" max="13824" width="9.140625" style="97" hidden="1"/>
    <col min="13825" max="13825" width="60.7109375" style="97" hidden="1"/>
    <col min="13826" max="13828" width="9.140625" style="97" hidden="1"/>
    <col min="13829" max="13829" width="5" style="97" hidden="1"/>
    <col min="13830" max="13830" width="35.7109375" style="97" hidden="1"/>
    <col min="13831" max="14080" width="9.140625" style="97" hidden="1"/>
    <col min="14081" max="14081" width="60.7109375" style="97" hidden="1"/>
    <col min="14082" max="14084" width="9.140625" style="97" hidden="1"/>
    <col min="14085" max="14085" width="5" style="97" hidden="1"/>
    <col min="14086" max="14086" width="35.7109375" style="97" hidden="1"/>
    <col min="14087" max="14336" width="9.140625" style="97" hidden="1"/>
    <col min="14337" max="14337" width="60.7109375" style="97" hidden="1"/>
    <col min="14338" max="14340" width="9.140625" style="97" hidden="1"/>
    <col min="14341" max="14341" width="5" style="97" hidden="1"/>
    <col min="14342" max="14342" width="35.7109375" style="97" hidden="1"/>
    <col min="14343" max="14592" width="9.140625" style="97" hidden="1"/>
    <col min="14593" max="14593" width="60.7109375" style="97" hidden="1"/>
    <col min="14594" max="14596" width="9.140625" style="97" hidden="1"/>
    <col min="14597" max="14597" width="5" style="97" hidden="1"/>
    <col min="14598" max="14598" width="35.7109375" style="97" hidden="1"/>
    <col min="14599" max="14848" width="9.140625" style="97" hidden="1"/>
    <col min="14849" max="14849" width="60.7109375" style="97" hidden="1"/>
    <col min="14850" max="14852" width="9.140625" style="97" hidden="1"/>
    <col min="14853" max="14853" width="5" style="97" hidden="1"/>
    <col min="14854" max="14854" width="35.7109375" style="97" hidden="1"/>
    <col min="14855" max="15104" width="9.140625" style="97" hidden="1"/>
    <col min="15105" max="15105" width="60.7109375" style="97" hidden="1"/>
    <col min="15106" max="15108" width="9.140625" style="97" hidden="1"/>
    <col min="15109" max="15109" width="5" style="97" hidden="1"/>
    <col min="15110" max="15110" width="35.7109375" style="97" hidden="1"/>
    <col min="15111" max="15360" width="9.140625" style="97" hidden="1"/>
    <col min="15361" max="15361" width="60.7109375" style="97" hidden="1"/>
    <col min="15362" max="15364" width="9.140625" style="97" hidden="1"/>
    <col min="15365" max="15365" width="5" style="97" hidden="1"/>
    <col min="15366" max="15366" width="35.7109375" style="97" hidden="1"/>
    <col min="15367" max="15616" width="9.140625" style="97" hidden="1"/>
    <col min="15617" max="15617" width="60.7109375" style="97" hidden="1"/>
    <col min="15618" max="15620" width="9.140625" style="97" hidden="1"/>
    <col min="15621" max="15621" width="5" style="97" hidden="1"/>
    <col min="15622" max="15622" width="35.7109375" style="97" hidden="1"/>
    <col min="15623" max="15872" width="9.140625" style="97" hidden="1"/>
    <col min="15873" max="15873" width="60.7109375" style="97" hidden="1"/>
    <col min="15874" max="15876" width="9.140625" style="97" hidden="1"/>
    <col min="15877" max="15877" width="5" style="97" hidden="1"/>
    <col min="15878" max="15878" width="35.7109375" style="97" hidden="1"/>
    <col min="15879" max="16128" width="9.140625" style="97" hidden="1"/>
    <col min="16129" max="16129" width="60.7109375" style="97" hidden="1"/>
    <col min="16130" max="16132" width="9.140625" style="97" hidden="1"/>
    <col min="16133" max="16133" width="5" style="97" hidden="1"/>
    <col min="16134" max="16134" width="35.7109375" style="97" hidden="1"/>
    <col min="16135" max="16384" width="9.140625" style="97" hidden="1"/>
  </cols>
  <sheetData>
    <row r="1" spans="1:7" ht="13.5" x14ac:dyDescent="0.25">
      <c r="A1" s="225" t="s">
        <v>83</v>
      </c>
      <c r="B1" s="225"/>
      <c r="C1" s="225"/>
      <c r="D1" s="225"/>
      <c r="E1" s="226"/>
      <c r="F1" s="155" t="s">
        <v>84</v>
      </c>
    </row>
    <row r="2" spans="1:7" ht="13.5" x14ac:dyDescent="0.25">
      <c r="A2" s="227"/>
      <c r="B2" s="227"/>
      <c r="C2" s="227"/>
      <c r="D2" s="227"/>
      <c r="E2" s="228"/>
      <c r="F2" s="156" t="s">
        <v>85</v>
      </c>
    </row>
    <row r="3" spans="1:7" ht="13.5" x14ac:dyDescent="0.25">
      <c r="A3" s="98" t="s">
        <v>86</v>
      </c>
      <c r="B3" s="98"/>
      <c r="C3" s="98"/>
      <c r="D3" s="98"/>
      <c r="E3" s="98"/>
      <c r="F3" s="99">
        <f>SUM(F4:F6)</f>
        <v>2509850867.4499998</v>
      </c>
      <c r="G3" s="100"/>
    </row>
    <row r="4" spans="1:7" ht="13.5" x14ac:dyDescent="0.25">
      <c r="A4" s="101" t="s">
        <v>87</v>
      </c>
      <c r="B4" s="102"/>
      <c r="C4" s="102"/>
      <c r="D4" s="102"/>
      <c r="E4" s="102"/>
      <c r="F4" s="103">
        <f>1436116109.32+222711800.33+269740.02</f>
        <v>1659097649.6699998</v>
      </c>
    </row>
    <row r="5" spans="1:7" ht="13.5" x14ac:dyDescent="0.25">
      <c r="A5" s="104" t="s">
        <v>88</v>
      </c>
      <c r="B5" s="102"/>
      <c r="C5" s="102"/>
      <c r="D5" s="102"/>
      <c r="E5" s="102"/>
      <c r="F5" s="103">
        <f>711542627.16+114344337.5</f>
        <v>825886964.65999997</v>
      </c>
    </row>
    <row r="6" spans="1:7" ht="13.5" x14ac:dyDescent="0.25">
      <c r="A6" s="104" t="s">
        <v>89</v>
      </c>
      <c r="B6" s="102"/>
      <c r="C6" s="102"/>
      <c r="D6" s="102"/>
      <c r="E6" s="102"/>
      <c r="F6" s="103">
        <f>113360.7+22791150.74+1961741.68</f>
        <v>24866253.119999997</v>
      </c>
    </row>
    <row r="7" spans="1:7" ht="13.5" x14ac:dyDescent="0.25">
      <c r="A7" s="102" t="s">
        <v>90</v>
      </c>
      <c r="B7" s="102"/>
      <c r="C7" s="102"/>
      <c r="D7" s="102"/>
      <c r="E7" s="102"/>
      <c r="F7" s="103">
        <f>SUM(F8:F11)</f>
        <v>266488525.21000001</v>
      </c>
      <c r="G7" s="100"/>
    </row>
    <row r="8" spans="1:7" ht="13.5" x14ac:dyDescent="0.25">
      <c r="A8" s="105" t="s">
        <v>91</v>
      </c>
      <c r="B8" s="102"/>
      <c r="C8" s="102"/>
      <c r="D8" s="102"/>
      <c r="E8" s="102"/>
      <c r="F8" s="103">
        <v>0</v>
      </c>
    </row>
    <row r="9" spans="1:7" ht="13.5" x14ac:dyDescent="0.25">
      <c r="A9" s="105" t="s">
        <v>92</v>
      </c>
      <c r="B9" s="102"/>
      <c r="C9" s="102"/>
      <c r="D9" s="102"/>
      <c r="E9" s="102"/>
      <c r="F9" s="103">
        <v>269740.02</v>
      </c>
    </row>
    <row r="10" spans="1:7" ht="13.5" x14ac:dyDescent="0.25">
      <c r="A10" s="105" t="s">
        <v>93</v>
      </c>
      <c r="B10" s="102"/>
      <c r="C10" s="102"/>
      <c r="D10" s="102"/>
      <c r="E10" s="102"/>
      <c r="F10" s="103">
        <v>0</v>
      </c>
    </row>
    <row r="11" spans="1:7" ht="13.5" x14ac:dyDescent="0.25">
      <c r="A11" s="106" t="s">
        <v>94</v>
      </c>
      <c r="B11" s="107"/>
      <c r="C11" s="107"/>
      <c r="D11" s="107"/>
      <c r="E11" s="107"/>
      <c r="F11" s="108">
        <v>266218785.19</v>
      </c>
    </row>
    <row r="12" spans="1:7" ht="13.5" x14ac:dyDescent="0.25">
      <c r="A12" s="98" t="s">
        <v>95</v>
      </c>
      <c r="B12" s="107"/>
      <c r="C12" s="107"/>
      <c r="D12" s="107"/>
      <c r="E12" s="107"/>
      <c r="F12" s="108">
        <f>F3-F7</f>
        <v>2243362342.2399998</v>
      </c>
      <c r="G12" s="100"/>
    </row>
    <row r="13" spans="1:7" ht="13.5" x14ac:dyDescent="0.25">
      <c r="A13" s="109" t="s">
        <v>96</v>
      </c>
      <c r="B13" s="109"/>
      <c r="C13" s="109"/>
      <c r="D13" s="109"/>
      <c r="E13" s="109"/>
      <c r="F13" s="150">
        <f>F12</f>
        <v>2243362342.2399998</v>
      </c>
    </row>
    <row r="14" spans="1:7" ht="13.5" x14ac:dyDescent="0.25">
      <c r="A14" s="102"/>
      <c r="B14" s="102"/>
      <c r="C14" s="102"/>
      <c r="D14" s="102"/>
      <c r="E14" s="102"/>
      <c r="F14" s="102"/>
    </row>
    <row r="15" spans="1:7" ht="13.5" x14ac:dyDescent="0.25">
      <c r="A15" s="229" t="s">
        <v>97</v>
      </c>
      <c r="B15" s="229"/>
      <c r="C15" s="229"/>
      <c r="D15" s="229"/>
      <c r="E15" s="229"/>
      <c r="F15" s="148" t="s">
        <v>98</v>
      </c>
    </row>
    <row r="16" spans="1:7" ht="13.5" x14ac:dyDescent="0.25">
      <c r="A16" s="102" t="s">
        <v>99</v>
      </c>
      <c r="B16" s="102"/>
      <c r="C16" s="102"/>
      <c r="D16" s="102"/>
      <c r="E16" s="102"/>
      <c r="F16" s="149">
        <v>5139117772.8000002</v>
      </c>
    </row>
    <row r="17" spans="1:6" ht="13.5" x14ac:dyDescent="0.25">
      <c r="A17" s="109" t="s">
        <v>100</v>
      </c>
      <c r="B17" s="109"/>
      <c r="C17" s="109"/>
      <c r="D17" s="109"/>
      <c r="E17" s="109"/>
      <c r="F17" s="151">
        <f>F13/F16</f>
        <v>0.43652674280272913</v>
      </c>
    </row>
    <row r="18" spans="1:6" ht="13.5" x14ac:dyDescent="0.25">
      <c r="A18" s="230" t="s">
        <v>101</v>
      </c>
      <c r="B18" s="230"/>
      <c r="C18" s="230"/>
      <c r="D18" s="230"/>
      <c r="E18" s="230"/>
      <c r="F18" s="153">
        <v>0.6</v>
      </c>
    </row>
    <row r="19" spans="1:6" ht="13.5" x14ac:dyDescent="0.25">
      <c r="A19" s="102" t="s">
        <v>102</v>
      </c>
      <c r="B19" s="102"/>
      <c r="C19" s="102"/>
      <c r="D19" s="102"/>
      <c r="E19" s="102"/>
      <c r="F19" s="152">
        <f>F18*0.95</f>
        <v>0.56999999999999995</v>
      </c>
    </row>
    <row r="20" spans="1:6" ht="13.5" x14ac:dyDescent="0.25">
      <c r="A20" s="102" t="s">
        <v>103</v>
      </c>
      <c r="B20" s="102"/>
      <c r="C20" s="102"/>
      <c r="D20" s="102"/>
      <c r="E20" s="102"/>
      <c r="F20" s="152">
        <f>F18*0.9</f>
        <v>0.54</v>
      </c>
    </row>
    <row r="21" spans="1:6" x14ac:dyDescent="0.2"/>
  </sheetData>
  <mergeCells count="3">
    <mergeCell ref="A1:E2"/>
    <mergeCell ref="A15:E15"/>
    <mergeCell ref="A18:E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zoomScale="115" zoomScaleNormal="115" zoomScaleSheetLayoutView="85" workbookViewId="0">
      <pane xSplit="10" ySplit="28" topLeftCell="K29" activePane="bottomRight" state="frozen"/>
      <selection pane="topRight" activeCell="K1" sqref="K1"/>
      <selection pane="bottomLeft" activeCell="A29" sqref="A29"/>
      <selection pane="bottomRight" activeCell="C12" sqref="C12"/>
    </sheetView>
  </sheetViews>
  <sheetFormatPr defaultColWidth="0" defaultRowHeight="12.75" zeroHeight="1" x14ac:dyDescent="0.2"/>
  <cols>
    <col min="1" max="1" width="56" style="55" customWidth="1"/>
    <col min="2" max="2" width="14" style="55" bestFit="1" customWidth="1"/>
    <col min="3" max="3" width="17.5703125" style="55" customWidth="1"/>
    <col min="4" max="4" width="10" style="55" customWidth="1"/>
    <col min="5" max="5" width="3.28515625" style="55" customWidth="1"/>
    <col min="6" max="6" width="18.85546875" style="55" customWidth="1"/>
    <col min="7" max="7" width="15.140625" style="55" customWidth="1"/>
    <col min="8" max="10" width="18.85546875" style="55" customWidth="1"/>
    <col min="11" max="11" width="12.5703125" style="55" bestFit="1" customWidth="1"/>
    <col min="12" max="17" width="17.42578125" style="55" hidden="1" customWidth="1"/>
    <col min="18" max="16384" width="41.42578125" style="55" hidden="1"/>
  </cols>
  <sheetData>
    <row r="1" spans="1:5" s="68" customFormat="1" ht="18" x14ac:dyDescent="0.2">
      <c r="A1" s="74" t="s">
        <v>133</v>
      </c>
      <c r="B1" s="71"/>
      <c r="C1" s="71"/>
      <c r="D1" s="71"/>
      <c r="E1" s="57"/>
    </row>
    <row r="2" spans="1:5" x14ac:dyDescent="0.2"/>
    <row r="3" spans="1:5" s="57" customFormat="1" ht="13.5" thickBot="1" x14ac:dyDescent="0.25">
      <c r="A3" s="72" t="s">
        <v>118</v>
      </c>
      <c r="D3" s="55"/>
      <c r="E3" s="55"/>
    </row>
    <row r="4" spans="1:5" x14ac:dyDescent="0.2">
      <c r="A4" s="58" t="s">
        <v>104</v>
      </c>
      <c r="B4" s="58"/>
      <c r="C4" s="59">
        <v>2020</v>
      </c>
    </row>
    <row r="5" spans="1:5" x14ac:dyDescent="0.2">
      <c r="A5" s="60" t="s">
        <v>105</v>
      </c>
      <c r="B5" s="60"/>
      <c r="C5" s="211">
        <v>43830</v>
      </c>
    </row>
    <row r="6" spans="1:5" x14ac:dyDescent="0.2">
      <c r="A6" s="61" t="s">
        <v>106</v>
      </c>
      <c r="B6" s="61"/>
      <c r="C6" s="212">
        <v>43830</v>
      </c>
    </row>
    <row r="7" spans="1:5" ht="13.5" thickBot="1" x14ac:dyDescent="0.25"/>
    <row r="8" spans="1:5" x14ac:dyDescent="0.2">
      <c r="A8" s="73"/>
      <c r="B8" s="62" t="s">
        <v>107</v>
      </c>
      <c r="C8" s="63" t="s">
        <v>108</v>
      </c>
    </row>
    <row r="9" spans="1:5" x14ac:dyDescent="0.2">
      <c r="A9" s="161" t="str">
        <f>CONCATENATE("Contribuições do Ente + Parcelamentos (Ano: ",A28,")")</f>
        <v>Contribuições do Ente + Parcelamentos (Ano: 2019)</v>
      </c>
      <c r="B9" s="76"/>
      <c r="C9" s="218">
        <f>154079199.21+112007069.96</f>
        <v>266086269.17000002</v>
      </c>
    </row>
    <row r="10" spans="1:5" x14ac:dyDescent="0.2">
      <c r="A10" s="161" t="str">
        <f>CONCATENATE("Despesas do RPPS- Benefícios e Administrativas (Ano: ",A28,")")</f>
        <v>Despesas do RPPS- Benefícios e Administrativas (Ano: 2019)</v>
      </c>
      <c r="B10" s="76"/>
      <c r="C10" s="218">
        <f>850541396.99+6140918.44</f>
        <v>856682315.43000007</v>
      </c>
    </row>
    <row r="11" spans="1:5" x14ac:dyDescent="0.2">
      <c r="A11" s="161" t="s">
        <v>109</v>
      </c>
      <c r="B11" s="217">
        <f>C28-C9-IF(C10-C9&gt;0,C10-C9,0)</f>
        <v>1386680026.8099997</v>
      </c>
      <c r="C11" s="77"/>
    </row>
    <row r="12" spans="1:5" x14ac:dyDescent="0.2">
      <c r="A12" s="161" t="s">
        <v>110</v>
      </c>
      <c r="B12" s="76"/>
      <c r="C12" s="218">
        <v>1975112880.8499999</v>
      </c>
    </row>
    <row r="13" spans="1:5" x14ac:dyDescent="0.2">
      <c r="A13" s="161" t="s">
        <v>111</v>
      </c>
      <c r="B13" s="76">
        <f>'Fluxo e Duração do Passivo'!BL161</f>
        <v>1415140212.4200001</v>
      </c>
      <c r="C13" s="218">
        <f>B13</f>
        <v>1415140212.4200001</v>
      </c>
    </row>
    <row r="14" spans="1:5" x14ac:dyDescent="0.2">
      <c r="A14" s="161" t="str">
        <f>CONCATENATE("Variação Média - ",B17)</f>
        <v>Variação Média - RECEITA CORRENTE LÍQUIDA - RCL</v>
      </c>
      <c r="B14" s="80">
        <f>AVERAGE(I18:I28)</f>
        <v>4.1893625065276698E-2</v>
      </c>
      <c r="C14" s="219"/>
    </row>
    <row r="15" spans="1:5" ht="13.5" thickBot="1" x14ac:dyDescent="0.25">
      <c r="A15" s="162" t="str">
        <f>CONCATENATE("Variação Média - ",C17)</f>
        <v>Variação Média - DESPESA LÍQUIDA COM PESSOAL</v>
      </c>
      <c r="B15" s="95">
        <f>AVERAGE(J18:J28)</f>
        <v>5.6256546363791403E-3</v>
      </c>
      <c r="C15" s="78"/>
    </row>
    <row r="16" spans="1:5" ht="13.5" thickBot="1" x14ac:dyDescent="0.25"/>
    <row r="17" spans="1:14" s="64" customFormat="1" ht="38.25" x14ac:dyDescent="0.2">
      <c r="A17" s="81" t="s">
        <v>112</v>
      </c>
      <c r="B17" s="82" t="s">
        <v>113</v>
      </c>
      <c r="C17" s="83" t="s">
        <v>114</v>
      </c>
      <c r="D17" s="84" t="s">
        <v>115</v>
      </c>
      <c r="E17" s="57"/>
      <c r="F17" s="87" t="s">
        <v>116</v>
      </c>
      <c r="G17" s="88" t="str">
        <f>CONCATENATE(B17," (em base de ",A28,")")</f>
        <v>RECEITA CORRENTE LÍQUIDA - RCL (em base de 2019)</v>
      </c>
      <c r="H17" s="89" t="str">
        <f>CONCATENATE(B17," (em base de ",A28,")")</f>
        <v>RECEITA CORRENTE LÍQUIDA - RCL (em base de 2019)</v>
      </c>
      <c r="I17" s="88" t="str">
        <f>CONCATENATE("Variação real da ",B17)</f>
        <v>Variação real da RECEITA CORRENTE LÍQUIDA - RCL</v>
      </c>
      <c r="J17" s="90" t="str">
        <f>CONCATENATE("Variação real da ",C17)</f>
        <v>Variação real da DESPESA LÍQUIDA COM PESSOAL</v>
      </c>
      <c r="M17"/>
      <c r="N17" s="154"/>
    </row>
    <row r="18" spans="1:14" ht="12.75" customHeight="1" x14ac:dyDescent="0.2">
      <c r="A18" s="65">
        <f t="shared" ref="A18:A27" si="0">A19-1</f>
        <v>2009</v>
      </c>
      <c r="B18" s="66">
        <v>1964918607.21</v>
      </c>
      <c r="C18" s="221">
        <f>0.94*C19</f>
        <v>1208308863.921798</v>
      </c>
      <c r="D18" s="85">
        <v>4.1100000000000005E-2</v>
      </c>
      <c r="E18" s="75"/>
      <c r="F18" s="91"/>
      <c r="G18" s="79">
        <f t="shared" ref="G18:G27" si="1">IFERROR((1+$F19)*B18,"")</f>
        <v>3457054723.3944621</v>
      </c>
      <c r="H18" s="79">
        <f t="shared" ref="H18:H26" si="2">IFERROR((1+$F19)*C18,"")</f>
        <v>2125884425.9566891</v>
      </c>
      <c r="I18" s="80" t="str">
        <f t="shared" ref="I18:J28" si="3">IFERROR(G18/G17-1,"")</f>
        <v/>
      </c>
      <c r="J18" s="92" t="str">
        <f t="shared" si="3"/>
        <v/>
      </c>
      <c r="L18" s="231"/>
      <c r="M18" s="231"/>
      <c r="N18" s="154"/>
    </row>
    <row r="19" spans="1:14" ht="12.75" customHeight="1" x14ac:dyDescent="0.2">
      <c r="A19" s="65">
        <f t="shared" si="0"/>
        <v>2010</v>
      </c>
      <c r="B19" s="66">
        <v>2263622646.5599999</v>
      </c>
      <c r="C19" s="221">
        <f t="shared" ref="C19:C26" si="4">0.94*C20</f>
        <v>1285434961.6189342</v>
      </c>
      <c r="D19" s="85">
        <v>6.4600000000000005E-2</v>
      </c>
      <c r="E19" s="75"/>
      <c r="F19" s="91">
        <f>IF(D19="","",((1+F20)*(1+D19))-1)</f>
        <v>0.75938825695337853</v>
      </c>
      <c r="G19" s="79">
        <f t="shared" si="1"/>
        <v>3740927205.0830283</v>
      </c>
      <c r="H19" s="79">
        <f t="shared" si="2"/>
        <v>2124346399.1636949</v>
      </c>
      <c r="I19" s="80">
        <f t="shared" si="3"/>
        <v>8.2113968219118538E-2</v>
      </c>
      <c r="J19" s="92">
        <f t="shared" si="3"/>
        <v>-7.2347620322876782E-4</v>
      </c>
      <c r="L19" s="231"/>
      <c r="M19" s="231"/>
      <c r="N19" s="154"/>
    </row>
    <row r="20" spans="1:14" ht="12.75" customHeight="1" x14ac:dyDescent="0.2">
      <c r="A20" s="65">
        <f t="shared" si="0"/>
        <v>2011</v>
      </c>
      <c r="B20" s="66">
        <v>2568377336.0900002</v>
      </c>
      <c r="C20" s="221">
        <f t="shared" si="4"/>
        <v>1367484001.7222705</v>
      </c>
      <c r="D20" s="85">
        <v>6.08E-2</v>
      </c>
      <c r="E20" s="75"/>
      <c r="F20" s="91">
        <f t="shared" ref="F20:F27" si="5">IF(D20="","",((1+F21)*(1+D20))-1)</f>
        <v>0.65262845853219842</v>
      </c>
      <c r="G20" s="79">
        <f t="shared" si="1"/>
        <v>4001294756.6661496</v>
      </c>
      <c r="H20" s="79">
        <f t="shared" si="2"/>
        <v>2130413817.7165518</v>
      </c>
      <c r="I20" s="80">
        <f t="shared" si="3"/>
        <v>6.959973752746218E-2</v>
      </c>
      <c r="J20" s="92">
        <f t="shared" si="3"/>
        <v>2.8561342704020998E-3</v>
      </c>
      <c r="L20" s="231"/>
      <c r="M20" s="231"/>
      <c r="N20" s="154"/>
    </row>
    <row r="21" spans="1:14" ht="12.75" customHeight="1" x14ac:dyDescent="0.2">
      <c r="A21" s="65">
        <f t="shared" si="0"/>
        <v>2012</v>
      </c>
      <c r="B21" s="66">
        <v>2838159684.5900002</v>
      </c>
      <c r="C21" s="221">
        <f t="shared" si="4"/>
        <v>1454770214.5981603</v>
      </c>
      <c r="D21" s="85">
        <v>6.2E-2</v>
      </c>
      <c r="E21" s="75"/>
      <c r="F21" s="91">
        <f t="shared" si="5"/>
        <v>0.55790767207032288</v>
      </c>
      <c r="G21" s="79">
        <f t="shared" si="1"/>
        <v>4163456447.4420424</v>
      </c>
      <c r="H21" s="79">
        <f t="shared" si="2"/>
        <v>2134084442.9584405</v>
      </c>
      <c r="I21" s="80">
        <f t="shared" si="3"/>
        <v>4.0527304444575529E-2</v>
      </c>
      <c r="J21" s="92">
        <f t="shared" si="3"/>
        <v>1.7229634972153463E-3</v>
      </c>
      <c r="L21" s="231"/>
      <c r="M21" s="231"/>
      <c r="N21" s="154"/>
    </row>
    <row r="22" spans="1:14" ht="12.75" customHeight="1" x14ac:dyDescent="0.2">
      <c r="A22" s="65">
        <f t="shared" si="0"/>
        <v>2013</v>
      </c>
      <c r="B22" s="66">
        <v>3171247467.7399998</v>
      </c>
      <c r="C22" s="221">
        <f t="shared" si="4"/>
        <v>1547627887.8703833</v>
      </c>
      <c r="D22" s="85">
        <v>5.5599999999999997E-2</v>
      </c>
      <c r="E22" s="75"/>
      <c r="F22" s="91">
        <f t="shared" si="5"/>
        <v>0.46695637671405166</v>
      </c>
      <c r="G22" s="79">
        <f t="shared" si="1"/>
        <v>4407049729.9540367</v>
      </c>
      <c r="H22" s="79">
        <f t="shared" si="2"/>
        <v>2150722431.6899943</v>
      </c>
      <c r="I22" s="80">
        <f t="shared" si="3"/>
        <v>5.8507465032245909E-2</v>
      </c>
      <c r="J22" s="92">
        <f t="shared" si="3"/>
        <v>7.7963122717341626E-3</v>
      </c>
      <c r="L22" s="231"/>
      <c r="M22" s="231"/>
      <c r="N22" s="154"/>
    </row>
    <row r="23" spans="1:14" ht="12.75" customHeight="1" x14ac:dyDescent="0.2">
      <c r="A23" s="65">
        <f t="shared" si="0"/>
        <v>2014</v>
      </c>
      <c r="B23" s="66">
        <v>3501515420.3400002</v>
      </c>
      <c r="C23" s="221">
        <f t="shared" si="4"/>
        <v>1646412646.6706207</v>
      </c>
      <c r="D23" s="85">
        <v>6.2300000000000001E-2</v>
      </c>
      <c r="E23" s="75"/>
      <c r="F23" s="91">
        <f t="shared" si="5"/>
        <v>0.38968963311297045</v>
      </c>
      <c r="G23" s="79">
        <f t="shared" si="1"/>
        <v>4580645467.2236691</v>
      </c>
      <c r="H23" s="79">
        <f t="shared" si="2"/>
        <v>2153819624.309752</v>
      </c>
      <c r="I23" s="80">
        <f t="shared" si="3"/>
        <v>3.9390464802275593E-2</v>
      </c>
      <c r="J23" s="92">
        <f t="shared" si="3"/>
        <v>1.4400708218418323E-3</v>
      </c>
      <c r="L23" s="231"/>
      <c r="M23" s="231"/>
      <c r="N23" s="154"/>
    </row>
    <row r="24" spans="1:14" ht="12.75" customHeight="1" x14ac:dyDescent="0.2">
      <c r="A24" s="65">
        <f t="shared" si="0"/>
        <v>2015</v>
      </c>
      <c r="B24" s="66">
        <v>3706454081.1500001</v>
      </c>
      <c r="C24" s="221">
        <f t="shared" si="4"/>
        <v>1751502815.6070433</v>
      </c>
      <c r="D24" s="85">
        <v>0.1128</v>
      </c>
      <c r="E24" s="75"/>
      <c r="F24" s="91">
        <f t="shared" si="5"/>
        <v>0.30818943152873057</v>
      </c>
      <c r="G24" s="79">
        <f t="shared" si="1"/>
        <v>4357246636.7783623</v>
      </c>
      <c r="H24" s="79">
        <f t="shared" si="2"/>
        <v>2059037987.6617081</v>
      </c>
      <c r="I24" s="80">
        <f t="shared" si="3"/>
        <v>-4.8770163952616241E-2</v>
      </c>
      <c r="J24" s="92">
        <f t="shared" si="3"/>
        <v>-4.4006301910457846E-2</v>
      </c>
      <c r="L24" s="231"/>
      <c r="M24" s="231"/>
      <c r="N24" s="154"/>
    </row>
    <row r="25" spans="1:14" ht="12.75" customHeight="1" x14ac:dyDescent="0.2">
      <c r="A25" s="65">
        <f t="shared" si="0"/>
        <v>2016</v>
      </c>
      <c r="B25" s="66">
        <v>3800708337.52</v>
      </c>
      <c r="C25" s="221">
        <f t="shared" si="4"/>
        <v>1863300867.6670675</v>
      </c>
      <c r="D25" s="85">
        <v>6.5799999999999997E-2</v>
      </c>
      <c r="E25" s="75"/>
      <c r="F25" s="91">
        <f t="shared" si="5"/>
        <v>0.17558360130187856</v>
      </c>
      <c r="G25" s="79">
        <f t="shared" si="1"/>
        <v>4192203410.5083852</v>
      </c>
      <c r="H25" s="79">
        <f t="shared" si="2"/>
        <v>2055231698.5559824</v>
      </c>
      <c r="I25" s="80">
        <f t="shared" si="3"/>
        <v>-3.7877871056664736E-2</v>
      </c>
      <c r="J25" s="92">
        <f t="shared" si="3"/>
        <v>-1.8485764364397639E-3</v>
      </c>
      <c r="L25" s="231"/>
      <c r="M25" s="231"/>
      <c r="N25" s="154"/>
    </row>
    <row r="26" spans="1:14" ht="12.75" customHeight="1" x14ac:dyDescent="0.2">
      <c r="A26" s="65">
        <f t="shared" si="0"/>
        <v>2017</v>
      </c>
      <c r="B26" s="66">
        <v>3855503767.7199998</v>
      </c>
      <c r="C26" s="221">
        <f t="shared" si="4"/>
        <v>1982234965.6032634</v>
      </c>
      <c r="D26" s="85">
        <v>2.07E-2</v>
      </c>
      <c r="E26" s="75"/>
      <c r="F26" s="91">
        <f t="shared" si="5"/>
        <v>0.10300581844800005</v>
      </c>
      <c r="G26" s="79">
        <f t="shared" si="1"/>
        <v>4166398637.0562811</v>
      </c>
      <c r="H26" s="79">
        <f t="shared" si="2"/>
        <v>2142075732.9200263</v>
      </c>
      <c r="I26" s="80">
        <f t="shared" si="3"/>
        <v>-6.155420175323667E-3</v>
      </c>
      <c r="J26" s="92">
        <f t="shared" si="3"/>
        <v>4.2255106528894526E-2</v>
      </c>
      <c r="L26" s="231"/>
      <c r="M26" s="231"/>
      <c r="N26" s="154"/>
    </row>
    <row r="27" spans="1:14" x14ac:dyDescent="0.2">
      <c r="A27" s="65">
        <f t="shared" si="0"/>
        <v>2018</v>
      </c>
      <c r="B27" s="66">
        <v>4348857606.4799995</v>
      </c>
      <c r="C27" s="221">
        <f>0.94*C28</f>
        <v>2108760601.7055995</v>
      </c>
      <c r="D27" s="85">
        <v>3.4300000000000004E-2</v>
      </c>
      <c r="E27" s="75"/>
      <c r="F27" s="91">
        <f t="shared" si="5"/>
        <v>8.0636640000000037E-2</v>
      </c>
      <c r="G27" s="79">
        <f t="shared" si="1"/>
        <v>4543686427.2503033</v>
      </c>
      <c r="H27" s="79">
        <f>IFERROR((1+$F28)*C27,"")</f>
        <v>2203233076.6620102</v>
      </c>
      <c r="I27" s="80">
        <f t="shared" si="3"/>
        <v>9.0554894780925377E-2</v>
      </c>
      <c r="J27" s="92">
        <f t="shared" si="3"/>
        <v>2.8550504915442865E-2</v>
      </c>
    </row>
    <row r="28" spans="1:14" ht="13.5" thickBot="1" x14ac:dyDescent="0.25">
      <c r="A28" s="67">
        <f>C4-1</f>
        <v>2019</v>
      </c>
      <c r="B28" s="86">
        <v>5139117772.8000002</v>
      </c>
      <c r="C28" s="216">
        <f>'Anexo 1 - Despesa com Pessoal '!F12</f>
        <v>2243362342.2399998</v>
      </c>
      <c r="D28" s="85">
        <v>4.48E-2</v>
      </c>
      <c r="E28" s="75"/>
      <c r="F28" s="93">
        <f>IF(D28="","",((1+D29)*(1+D28))-1)</f>
        <v>4.4799999999999951E-2</v>
      </c>
      <c r="G28" s="94">
        <f>IFERROR((1+$D29)*B28,"")</f>
        <v>5139117772.8000002</v>
      </c>
      <c r="H28" s="94">
        <f>IFERROR((1+$D29)*C28,"")</f>
        <v>2243362342.2399998</v>
      </c>
      <c r="I28" s="95">
        <f t="shared" si="3"/>
        <v>0.13104587103076848</v>
      </c>
      <c r="J28" s="96">
        <f t="shared" si="3"/>
        <v>1.821380860838695E-2</v>
      </c>
    </row>
    <row r="29" spans="1:14" s="68" customFormat="1" x14ac:dyDescent="0.2">
      <c r="E29" s="55"/>
    </row>
    <row r="30" spans="1:14" s="68" customFormat="1" x14ac:dyDescent="0.2">
      <c r="E30" s="55"/>
    </row>
    <row r="31" spans="1:14" s="68" customFormat="1" x14ac:dyDescent="0.2">
      <c r="E31" s="55"/>
    </row>
    <row r="32" spans="1:14" s="68" customFormat="1" hidden="1" x14ac:dyDescent="0.2">
      <c r="E32" s="55"/>
    </row>
    <row r="33" spans="5:5" s="68" customFormat="1" hidden="1" x14ac:dyDescent="0.2">
      <c r="E33" s="55"/>
    </row>
    <row r="34" spans="5:5" s="68" customFormat="1" hidden="1" x14ac:dyDescent="0.2">
      <c r="E34" s="55"/>
    </row>
    <row r="35" spans="5:5" s="68" customFormat="1" hidden="1" x14ac:dyDescent="0.2">
      <c r="E35" s="55"/>
    </row>
    <row r="36" spans="5:5" s="68" customFormat="1" hidden="1" x14ac:dyDescent="0.2">
      <c r="E36" s="55"/>
    </row>
    <row r="37" spans="5:5" s="68" customFormat="1" hidden="1" x14ac:dyDescent="0.2">
      <c r="E37" s="55"/>
    </row>
    <row r="38" spans="5:5" s="68" customFormat="1" hidden="1" x14ac:dyDescent="0.2">
      <c r="E38" s="55"/>
    </row>
    <row r="39" spans="5:5" s="68" customFormat="1" hidden="1" x14ac:dyDescent="0.2">
      <c r="E39" s="55"/>
    </row>
    <row r="40" spans="5:5" s="68" customFormat="1" hidden="1" x14ac:dyDescent="0.2">
      <c r="E40" s="55"/>
    </row>
    <row r="41" spans="5:5" s="68" customFormat="1" hidden="1" x14ac:dyDescent="0.2">
      <c r="E41" s="55"/>
    </row>
    <row r="42" spans="5:5" s="68" customFormat="1" hidden="1" x14ac:dyDescent="0.2">
      <c r="E42" s="55"/>
    </row>
    <row r="43" spans="5:5" s="68" customFormat="1" hidden="1" x14ac:dyDescent="0.2">
      <c r="E43" s="55"/>
    </row>
    <row r="44" spans="5:5" s="68" customFormat="1" hidden="1" x14ac:dyDescent="0.2">
      <c r="E44" s="55"/>
    </row>
    <row r="45" spans="5:5" s="68" customFormat="1" hidden="1" x14ac:dyDescent="0.2">
      <c r="E45" s="55"/>
    </row>
    <row r="46" spans="5:5" s="68" customFormat="1" hidden="1" x14ac:dyDescent="0.2">
      <c r="E46" s="55"/>
    </row>
    <row r="47" spans="5:5" s="68" customFormat="1" hidden="1" x14ac:dyDescent="0.2">
      <c r="E47" s="55"/>
    </row>
    <row r="48" spans="5:5" s="68" customFormat="1" hidden="1" x14ac:dyDescent="0.2">
      <c r="E48" s="55"/>
    </row>
    <row r="49" spans="5:5" s="68" customFormat="1" hidden="1" x14ac:dyDescent="0.2">
      <c r="E49" s="55"/>
    </row>
    <row r="50" spans="5:5" s="68" customFormat="1" hidden="1" x14ac:dyDescent="0.2">
      <c r="E50" s="55"/>
    </row>
    <row r="51" spans="5:5" s="68" customFormat="1" hidden="1" x14ac:dyDescent="0.2">
      <c r="E51" s="55"/>
    </row>
    <row r="52" spans="5:5" s="68" customFormat="1" hidden="1" x14ac:dyDescent="0.2">
      <c r="E52" s="55"/>
    </row>
    <row r="53" spans="5:5" s="68" customFormat="1" hidden="1" x14ac:dyDescent="0.2">
      <c r="E53" s="55"/>
    </row>
    <row r="54" spans="5:5" s="68" customFormat="1" hidden="1" x14ac:dyDescent="0.2">
      <c r="E54" s="55"/>
    </row>
    <row r="55" spans="5:5" hidden="1" x14ac:dyDescent="0.2"/>
    <row r="56" spans="5:5" hidden="1" x14ac:dyDescent="0.2"/>
    <row r="57" spans="5:5" hidden="1" x14ac:dyDescent="0.2"/>
    <row r="58" spans="5:5" hidden="1" x14ac:dyDescent="0.2"/>
    <row r="59" spans="5:5" hidden="1" x14ac:dyDescent="0.2"/>
    <row r="60" spans="5:5" hidden="1" x14ac:dyDescent="0.2"/>
    <row r="61" spans="5:5" hidden="1" x14ac:dyDescent="0.2"/>
    <row r="62" spans="5:5" hidden="1" x14ac:dyDescent="0.2"/>
    <row r="63" spans="5:5" hidden="1" x14ac:dyDescent="0.2"/>
    <row r="64" spans="5:5" hidden="1" x14ac:dyDescent="0.2"/>
    <row r="65" hidden="1" x14ac:dyDescent="0.2"/>
    <row r="66" hidden="1" x14ac:dyDescent="0.2"/>
    <row r="67" s="69" customFormat="1" hidden="1" x14ac:dyDescent="0.2"/>
  </sheetData>
  <mergeCells count="9">
    <mergeCell ref="L24:M24"/>
    <mergeCell ref="L25:M25"/>
    <mergeCell ref="L26:M26"/>
    <mergeCell ref="L18:M18"/>
    <mergeCell ref="L19:M19"/>
    <mergeCell ref="L20:M20"/>
    <mergeCell ref="L21:M21"/>
    <mergeCell ref="L22:M22"/>
    <mergeCell ref="L23:M23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51" fitToHeight="2" orientation="landscape" verticalDpi="300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tabSelected="1" zoomScale="130" zoomScaleNormal="130" zoomScaleSheetLayoutView="85" workbookViewId="0">
      <pane ySplit="7" topLeftCell="A8" activePane="bottomLeft" state="frozen"/>
      <selection pane="bottomLeft" activeCell="C14" sqref="C14"/>
    </sheetView>
  </sheetViews>
  <sheetFormatPr defaultColWidth="0" defaultRowHeight="12.75" zeroHeight="1" x14ac:dyDescent="0.2"/>
  <cols>
    <col min="1" max="1" width="6.28515625" style="55" customWidth="1"/>
    <col min="2" max="2" width="4.85546875" style="55" customWidth="1"/>
    <col min="3" max="3" width="13.7109375" style="55" customWidth="1"/>
    <col min="4" max="4" width="14.28515625" style="55" customWidth="1"/>
    <col min="5" max="6" width="15.42578125" style="55" customWidth="1"/>
    <col min="7" max="7" width="16.7109375" style="55" bestFit="1" customWidth="1"/>
    <col min="8" max="9" width="14.7109375" style="55" customWidth="1"/>
    <col min="10" max="10" width="17.5703125" style="55" customWidth="1"/>
    <col min="11" max="11" width="14.7109375" style="55" customWidth="1"/>
    <col min="12" max="12" width="14.42578125" style="55" customWidth="1"/>
    <col min="13" max="13" width="19" style="75" customWidth="1"/>
    <col min="14" max="23" width="0" style="55" hidden="1" customWidth="1"/>
    <col min="24" max="16384" width="19" style="55" hidden="1"/>
  </cols>
  <sheetData>
    <row r="1" spans="1:23" s="53" customFormat="1" ht="18" x14ac:dyDescent="0.25">
      <c r="A1" s="70" t="s">
        <v>117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10"/>
    </row>
    <row r="2" spans="1:23" s="53" customFormat="1" x14ac:dyDescent="0.25">
      <c r="A2" s="55"/>
      <c r="B2" s="55"/>
      <c r="C2" s="55"/>
      <c r="D2" s="55"/>
      <c r="G2" s="55"/>
      <c r="M2" s="110"/>
    </row>
    <row r="3" spans="1:23" s="111" customFormat="1" x14ac:dyDescent="0.25">
      <c r="A3" s="111" t="s">
        <v>118</v>
      </c>
      <c r="B3" s="111" t="s">
        <v>137</v>
      </c>
      <c r="D3" s="57"/>
      <c r="E3" s="57"/>
      <c r="F3" s="57"/>
      <c r="G3" s="57"/>
      <c r="H3" s="57"/>
      <c r="I3" s="57"/>
      <c r="J3" s="57"/>
      <c r="K3" s="57"/>
      <c r="L3" s="57"/>
      <c r="M3" s="112"/>
    </row>
    <row r="4" spans="1:23" s="111" customFormat="1" x14ac:dyDescent="0.25">
      <c r="D4" s="57"/>
      <c r="E4" s="57"/>
      <c r="F4" s="57"/>
      <c r="G4" s="57"/>
      <c r="H4" s="57"/>
      <c r="I4" s="57"/>
      <c r="J4" s="57"/>
      <c r="K4" s="57"/>
      <c r="L4" s="57"/>
      <c r="M4" s="112"/>
    </row>
    <row r="5" spans="1:23" s="56" customFormat="1" x14ac:dyDescent="0.25">
      <c r="A5" s="232" t="s">
        <v>119</v>
      </c>
      <c r="B5" s="232"/>
      <c r="C5" s="232"/>
      <c r="D5" s="232"/>
      <c r="E5" s="232"/>
      <c r="F5" s="232"/>
      <c r="G5" s="220">
        <f>('01- Histórico'!C12+'01- Histórico'!C13)/'01- Histórico'!B28</f>
        <v>0.65969554370085048</v>
      </c>
      <c r="M5" s="75"/>
      <c r="Q5" s="55"/>
      <c r="R5" s="55"/>
      <c r="S5" s="55"/>
      <c r="T5" s="55"/>
      <c r="U5" s="55"/>
      <c r="W5" s="55"/>
    </row>
    <row r="6" spans="1:23" ht="13.5" thickBot="1" x14ac:dyDescent="0.25"/>
    <row r="7" spans="1:23" s="64" customFormat="1" ht="51" x14ac:dyDescent="0.2">
      <c r="A7" s="113" t="s">
        <v>112</v>
      </c>
      <c r="B7" s="114" t="s">
        <v>120</v>
      </c>
      <c r="C7" s="88" t="str">
        <f>'01- Histórico'!B17</f>
        <v>RECEITA CORRENTE LÍQUIDA - RCL</v>
      </c>
      <c r="D7" s="115" t="s">
        <v>109</v>
      </c>
      <c r="E7" s="89" t="s">
        <v>131</v>
      </c>
      <c r="F7" s="89" t="s">
        <v>121</v>
      </c>
      <c r="G7" s="116" t="s">
        <v>122</v>
      </c>
      <c r="H7" s="88" t="s">
        <v>123</v>
      </c>
      <c r="I7" s="88" t="s">
        <v>124</v>
      </c>
      <c r="J7" s="88" t="s">
        <v>125</v>
      </c>
      <c r="K7" s="88" t="s">
        <v>126</v>
      </c>
      <c r="L7" s="117" t="s">
        <v>127</v>
      </c>
      <c r="M7" s="118"/>
    </row>
    <row r="8" spans="1:23" x14ac:dyDescent="0.2">
      <c r="A8" s="119">
        <f>'01- Histórico'!A28</f>
        <v>2019</v>
      </c>
      <c r="B8" s="120">
        <v>0</v>
      </c>
      <c r="C8" s="79">
        <f>'01- Histórico'!B28</f>
        <v>5139117772.8000002</v>
      </c>
      <c r="D8" s="79">
        <f>'Anexo 1 - Despesa com Pessoal '!F13</f>
        <v>2243362342.2399998</v>
      </c>
      <c r="E8" s="79">
        <f>'Fluxo e Duração do Passivo'!E10</f>
        <v>360568637.57291549</v>
      </c>
      <c r="F8" s="79">
        <f>'Fluxo e Duração do Passivo'!AS10+'Fluxo e Duração do Passivo'!AZ10</f>
        <v>636001961.53866994</v>
      </c>
      <c r="G8" s="79">
        <f>'Fluxo e Duração do Passivo'!M10</f>
        <v>108170596.06777</v>
      </c>
      <c r="H8" s="123">
        <f>'Fluxo e Duração do Passivo'!AO10</f>
        <v>0</v>
      </c>
      <c r="I8" s="123">
        <f>'Fluxo e Duração do Passivo'!AP10</f>
        <v>0</v>
      </c>
      <c r="J8" s="123">
        <f>'Fluxo e Duração do Passivo'!BK10</f>
        <v>-62005622.693219997</v>
      </c>
      <c r="K8" s="123">
        <f t="shared" ref="K8:K43" si="0">D8+G8+H8+I8+IF(J8&lt;0,J8*-1,0)</f>
        <v>2413538561.0009899</v>
      </c>
      <c r="L8" s="124">
        <f>'Fluxo e Duração do Passivo'!BO10</f>
        <v>862547890.35771</v>
      </c>
    </row>
    <row r="9" spans="1:23" x14ac:dyDescent="0.2">
      <c r="A9" s="119">
        <f>A8+1</f>
        <v>2020</v>
      </c>
      <c r="B9" s="120">
        <f>B8+1</f>
        <v>1</v>
      </c>
      <c r="C9" s="79">
        <f>C8*1.05</f>
        <v>5396073661.4400005</v>
      </c>
      <c r="D9" s="79">
        <f>D8*1.05</f>
        <v>2355530459.3519998</v>
      </c>
      <c r="E9" s="79">
        <f>'Fluxo e Duração do Passivo'!E11</f>
        <v>362757278.09322196</v>
      </c>
      <c r="F9" s="79">
        <f>'Fluxo e Duração do Passivo'!AS11+'Fluxo e Duração do Passivo'!AZ11</f>
        <v>627673967.87565994</v>
      </c>
      <c r="G9" s="79">
        <f>'Fluxo e Duração do Passivo'!M11</f>
        <v>108827188.00204</v>
      </c>
      <c r="H9" s="123">
        <f>'Fluxo e Duração do Passivo'!AO11</f>
        <v>0</v>
      </c>
      <c r="I9" s="123">
        <f>'Fluxo e Duração do Passivo'!AP11</f>
        <v>0</v>
      </c>
      <c r="J9" s="123">
        <f>'Fluxo e Duração do Passivo'!BK11</f>
        <v>-103258835.81914</v>
      </c>
      <c r="K9" s="123">
        <f t="shared" si="0"/>
        <v>2567616483.1731796</v>
      </c>
      <c r="L9" s="124">
        <f>'Fluxo e Duração do Passivo'!BO11</f>
        <v>796378613.82395005</v>
      </c>
    </row>
    <row r="10" spans="1:23" x14ac:dyDescent="0.2">
      <c r="A10" s="119">
        <f t="shared" ref="A10:B25" si="1">A9+1</f>
        <v>2021</v>
      </c>
      <c r="B10" s="120">
        <f t="shared" si="1"/>
        <v>2</v>
      </c>
      <c r="C10" s="79">
        <f t="shared" ref="C10:C43" si="2">C9*1.05</f>
        <v>5665877344.512001</v>
      </c>
      <c r="D10" s="79">
        <f t="shared" ref="D10:D43" si="3">D9*1.005</f>
        <v>2367308111.6487594</v>
      </c>
      <c r="E10" s="79">
        <f>'Fluxo e Duração do Passivo'!E12</f>
        <v>364852729.3275907</v>
      </c>
      <c r="F10" s="79">
        <f>'Fluxo e Duração do Passivo'!AS12+'Fluxo e Duração do Passivo'!AZ12</f>
        <v>618381163.17540002</v>
      </c>
      <c r="G10" s="79">
        <f>'Fluxo e Duração do Passivo'!M12</f>
        <v>109455823.25737</v>
      </c>
      <c r="H10" s="123">
        <f>'Fluxo e Duração do Passivo'!AO12</f>
        <v>0</v>
      </c>
      <c r="I10" s="123">
        <f>'Fluxo e Duração do Passivo'!AP12</f>
        <v>0</v>
      </c>
      <c r="J10" s="123">
        <f>'Fluxo e Duração do Passivo'!BK12</f>
        <v>-93631901.77234</v>
      </c>
      <c r="K10" s="123">
        <f t="shared" si="0"/>
        <v>2570395836.6784692</v>
      </c>
      <c r="L10" s="124">
        <f>'Fluxo e Duração do Passivo'!BO12</f>
        <v>736990992.44604003</v>
      </c>
    </row>
    <row r="11" spans="1:23" x14ac:dyDescent="0.2">
      <c r="A11" s="119">
        <f t="shared" si="1"/>
        <v>2022</v>
      </c>
      <c r="B11" s="120">
        <f t="shared" si="1"/>
        <v>3</v>
      </c>
      <c r="C11" s="79">
        <f t="shared" si="2"/>
        <v>5949171211.7376013</v>
      </c>
      <c r="D11" s="79">
        <f t="shared" si="3"/>
        <v>2379144652.2070031</v>
      </c>
      <c r="E11" s="79">
        <f>'Fluxo e Duração do Passivo'!E13</f>
        <v>366842215.9400906</v>
      </c>
      <c r="F11" s="79">
        <f>'Fluxo e Duração do Passivo'!AS13+'Fluxo e Duração do Passivo'!AZ13</f>
        <v>608122793.69879007</v>
      </c>
      <c r="G11" s="79">
        <f>'Fluxo e Duração do Passivo'!M13</f>
        <v>110052669.04345</v>
      </c>
      <c r="H11" s="123">
        <f>'Fluxo e Duração do Passivo'!AO13</f>
        <v>0</v>
      </c>
      <c r="I11" s="123">
        <f>'Fluxo e Duração do Passivo'!AP13</f>
        <v>0</v>
      </c>
      <c r="J11" s="123">
        <f>'Fluxo e Duração do Passivo'!BK13</f>
        <v>-83129157.729699999</v>
      </c>
      <c r="K11" s="123">
        <f t="shared" si="0"/>
        <v>2572326478.9801531</v>
      </c>
      <c r="L11" s="124">
        <f>'Fluxo e Duração do Passivo'!BO13</f>
        <v>685552447.39152002</v>
      </c>
    </row>
    <row r="12" spans="1:23" x14ac:dyDescent="0.2">
      <c r="A12" s="119">
        <f t="shared" si="1"/>
        <v>2023</v>
      </c>
      <c r="B12" s="120">
        <f t="shared" si="1"/>
        <v>4</v>
      </c>
      <c r="C12" s="79">
        <f t="shared" si="2"/>
        <v>6246629772.324482</v>
      </c>
      <c r="D12" s="79">
        <f t="shared" si="3"/>
        <v>2391040375.4680381</v>
      </c>
      <c r="E12" s="79">
        <f>'Fluxo e Duração do Passivo'!E14</f>
        <v>366390946.52403307</v>
      </c>
      <c r="F12" s="79">
        <f>'Fluxo e Duração do Passivo'!AS14+'Fluxo e Duração do Passivo'!AZ14</f>
        <v>615699549.99396992</v>
      </c>
      <c r="G12" s="79">
        <f>'Fluxo e Duração do Passivo'!M14</f>
        <v>109917288.64551</v>
      </c>
      <c r="H12" s="123">
        <f>'Fluxo e Duração do Passivo'!AO14</f>
        <v>0</v>
      </c>
      <c r="I12" s="123">
        <f>'Fluxo e Duração do Passivo'!AP14</f>
        <v>0</v>
      </c>
      <c r="J12" s="123">
        <f>'Fluxo e Duração do Passivo'!BK14</f>
        <v>-80888810.522039995</v>
      </c>
      <c r="K12" s="123">
        <f t="shared" si="0"/>
        <v>2581846474.6355882</v>
      </c>
      <c r="L12" s="124">
        <f>'Fluxo e Duração do Passivo'!BO14</f>
        <v>634142392.10731995</v>
      </c>
    </row>
    <row r="13" spans="1:23" x14ac:dyDescent="0.2">
      <c r="A13" s="119">
        <f t="shared" si="1"/>
        <v>2024</v>
      </c>
      <c r="B13" s="120">
        <f t="shared" si="1"/>
        <v>5</v>
      </c>
      <c r="C13" s="79">
        <f t="shared" si="2"/>
        <v>6558961260.9407063</v>
      </c>
      <c r="D13" s="79">
        <f t="shared" si="3"/>
        <v>2402995577.3453779</v>
      </c>
      <c r="E13" s="79">
        <f>'Fluxo e Duração do Passivo'!E15</f>
        <v>360811606.18968761</v>
      </c>
      <c r="F13" s="79">
        <f>'Fluxo e Duração do Passivo'!AS15+'Fluxo e Duração do Passivo'!AZ15</f>
        <v>609488914.66548991</v>
      </c>
      <c r="G13" s="79">
        <f>'Fluxo e Duração do Passivo'!M15</f>
        <v>108243486.33798</v>
      </c>
      <c r="H13" s="123">
        <f>'Fluxo e Duração do Passivo'!AO15</f>
        <v>0</v>
      </c>
      <c r="I13" s="123">
        <f>'Fluxo e Duração do Passivo'!AP15</f>
        <v>0</v>
      </c>
      <c r="J13" s="123">
        <f>'Fluxo e Duração do Passivo'!BK15</f>
        <v>-13622382.71802</v>
      </c>
      <c r="K13" s="123">
        <f t="shared" si="0"/>
        <v>2524861446.4013777</v>
      </c>
      <c r="L13" s="124">
        <f>'Fluxo e Duração do Passivo'!BO15</f>
        <v>647788132.24991</v>
      </c>
    </row>
    <row r="14" spans="1:23" x14ac:dyDescent="0.2">
      <c r="A14" s="119">
        <f t="shared" si="1"/>
        <v>2025</v>
      </c>
      <c r="B14" s="120">
        <f t="shared" si="1"/>
        <v>6</v>
      </c>
      <c r="C14" s="79">
        <f t="shared" si="2"/>
        <v>6886909323.9877415</v>
      </c>
      <c r="D14" s="79">
        <f t="shared" si="3"/>
        <v>2415010555.2321048</v>
      </c>
      <c r="E14" s="79">
        <f>'Fluxo e Duração do Passivo'!E16</f>
        <v>357973315.64302623</v>
      </c>
      <c r="F14" s="79">
        <f>'Fluxo e Duração do Passivo'!AS16+'Fluxo e Duração do Passivo'!AZ16</f>
        <v>599942564.88695991</v>
      </c>
      <c r="G14" s="79">
        <f>'Fluxo e Duração do Passivo'!M16</f>
        <v>107391998.98824</v>
      </c>
      <c r="H14" s="123">
        <f>'Fluxo e Duração do Passivo'!AO16</f>
        <v>0</v>
      </c>
      <c r="I14" s="123">
        <f>'Fluxo e Duração do Passivo'!AP16</f>
        <v>0</v>
      </c>
      <c r="J14" s="123">
        <f>'Fluxo e Duração do Passivo'!BK16</f>
        <v>-63963171.74893</v>
      </c>
      <c r="K14" s="123">
        <f t="shared" si="0"/>
        <v>2586365725.9692745</v>
      </c>
      <c r="L14" s="124">
        <f>'Fluxo e Duração do Passivo'!BO16</f>
        <v>611679850.18772995</v>
      </c>
    </row>
    <row r="15" spans="1:23" x14ac:dyDescent="0.2">
      <c r="A15" s="119">
        <f t="shared" si="1"/>
        <v>2026</v>
      </c>
      <c r="B15" s="120">
        <f t="shared" si="1"/>
        <v>7</v>
      </c>
      <c r="C15" s="79">
        <f t="shared" si="2"/>
        <v>7231254790.187129</v>
      </c>
      <c r="D15" s="79">
        <f t="shared" si="3"/>
        <v>2427085608.008265</v>
      </c>
      <c r="E15" s="79">
        <f>'Fluxo e Duração do Passivo'!E17</f>
        <v>349689728.52570796</v>
      </c>
      <c r="F15" s="79">
        <f>'Fluxo e Duração do Passivo'!AS17+'Fluxo e Duração do Passivo'!AZ17</f>
        <v>594055481.8175</v>
      </c>
      <c r="G15" s="79">
        <f>'Fluxo e Duração do Passivo'!M17</f>
        <v>104906922.61226</v>
      </c>
      <c r="H15" s="123">
        <f>'Fluxo e Duração do Passivo'!AO17</f>
        <v>0</v>
      </c>
      <c r="I15" s="123">
        <f>'Fluxo e Duração do Passivo'!AP17</f>
        <v>0</v>
      </c>
      <c r="J15" s="123">
        <f>'Fluxo e Duração do Passivo'!BK17</f>
        <v>-57037774.519960001</v>
      </c>
      <c r="K15" s="123">
        <f t="shared" si="0"/>
        <v>2589030305.1404848</v>
      </c>
      <c r="L15" s="124">
        <f>'Fluxo e Duração do Passivo'!BO17</f>
        <v>580944309.22583997</v>
      </c>
    </row>
    <row r="16" spans="1:23" x14ac:dyDescent="0.2">
      <c r="A16" s="119">
        <f t="shared" si="1"/>
        <v>2027</v>
      </c>
      <c r="B16" s="120">
        <f t="shared" si="1"/>
        <v>8</v>
      </c>
      <c r="C16" s="79">
        <f t="shared" si="2"/>
        <v>7592817529.6964855</v>
      </c>
      <c r="D16" s="79">
        <f t="shared" si="3"/>
        <v>2439221036.048306</v>
      </c>
      <c r="E16" s="79">
        <f>'Fluxo e Duração do Passivo'!E18</f>
        <v>342359480.36269552</v>
      </c>
      <c r="F16" s="79">
        <f>'Fluxo e Duração do Passivo'!AS18+'Fluxo e Duração do Passivo'!AZ18</f>
        <v>586297703.20602</v>
      </c>
      <c r="G16" s="79">
        <f>'Fluxo e Duração do Passivo'!M18</f>
        <v>102707847.66681001</v>
      </c>
      <c r="H16" s="123">
        <f>'Fluxo e Duração do Passivo'!AO18</f>
        <v>0</v>
      </c>
      <c r="I16" s="123">
        <f>'Fluxo e Duração do Passivo'!AP18</f>
        <v>0</v>
      </c>
      <c r="J16" s="123">
        <f>'Fluxo e Duração do Passivo'!BK18</f>
        <v>-47894252.721430004</v>
      </c>
      <c r="K16" s="123">
        <f t="shared" si="0"/>
        <v>2589823136.4365458</v>
      </c>
      <c r="L16" s="124">
        <f>'Fluxo e Duração do Passivo'!BO18</f>
        <v>558030661.80112004</v>
      </c>
    </row>
    <row r="17" spans="1:12" x14ac:dyDescent="0.2">
      <c r="A17" s="119">
        <f t="shared" si="1"/>
        <v>2028</v>
      </c>
      <c r="B17" s="120">
        <f t="shared" si="1"/>
        <v>9</v>
      </c>
      <c r="C17" s="79">
        <f t="shared" si="2"/>
        <v>7972458406.1813097</v>
      </c>
      <c r="D17" s="79">
        <f t="shared" si="3"/>
        <v>2451417141.2285471</v>
      </c>
      <c r="E17" s="79">
        <f>'Fluxo e Duração do Passivo'!E19</f>
        <v>333668527.50571322</v>
      </c>
      <c r="F17" s="79">
        <f>'Fluxo e Duração do Passivo'!AS19+'Fluxo e Duração do Passivo'!AZ19</f>
        <v>578636249.75601995</v>
      </c>
      <c r="G17" s="79">
        <f>'Fluxo e Duração do Passivo'!M19</f>
        <v>100100562.53417</v>
      </c>
      <c r="H17" s="123">
        <f>'Fluxo e Duração do Passivo'!AO19</f>
        <v>0</v>
      </c>
      <c r="I17" s="123">
        <f>'Fluxo e Duração do Passivo'!AP19</f>
        <v>0</v>
      </c>
      <c r="J17" s="123">
        <f>'Fluxo e Duração do Passivo'!BK19</f>
        <v>-39080891.029250003</v>
      </c>
      <c r="K17" s="123">
        <f t="shared" si="0"/>
        <v>2590598594.7919674</v>
      </c>
      <c r="L17" s="124">
        <f>'Fluxo e Duração do Passivo'!BO19</f>
        <v>542945089.22932005</v>
      </c>
    </row>
    <row r="18" spans="1:12" x14ac:dyDescent="0.2">
      <c r="A18" s="119">
        <f t="shared" si="1"/>
        <v>2029</v>
      </c>
      <c r="B18" s="120">
        <f t="shared" si="1"/>
        <v>10</v>
      </c>
      <c r="C18" s="79">
        <f t="shared" si="2"/>
        <v>8371081326.4903755</v>
      </c>
      <c r="D18" s="79">
        <f t="shared" si="3"/>
        <v>2463674226.9346895</v>
      </c>
      <c r="E18" s="79">
        <f>'Fluxo e Duração do Passivo'!E20</f>
        <v>320991426.59765929</v>
      </c>
      <c r="F18" s="79">
        <f>'Fluxo e Duração do Passivo'!AS20+'Fluxo e Duração do Passivo'!AZ20</f>
        <v>573140634.96206999</v>
      </c>
      <c r="G18" s="79">
        <f>'Fluxo e Duração do Passivo'!M20</f>
        <v>96297432.076550007</v>
      </c>
      <c r="H18" s="123">
        <f>'Fluxo e Duração do Passivo'!AO20</f>
        <v>0</v>
      </c>
      <c r="I18" s="123">
        <f>'Fluxo e Duração do Passivo'!AP20</f>
        <v>0</v>
      </c>
      <c r="J18" s="123">
        <f>'Fluxo e Duração do Passivo'!BK20</f>
        <v>28114563.269170001</v>
      </c>
      <c r="K18" s="123">
        <f t="shared" si="0"/>
        <v>2559971659.0112395</v>
      </c>
      <c r="L18" s="124">
        <f>'Fluxo e Duração do Passivo'!BO20</f>
        <v>594406291.33535004</v>
      </c>
    </row>
    <row r="19" spans="1:12" x14ac:dyDescent="0.2">
      <c r="A19" s="119">
        <f t="shared" si="1"/>
        <v>2030</v>
      </c>
      <c r="B19" s="120">
        <f t="shared" si="1"/>
        <v>11</v>
      </c>
      <c r="C19" s="79">
        <f t="shared" si="2"/>
        <v>8789635392.8148937</v>
      </c>
      <c r="D19" s="79">
        <f t="shared" si="3"/>
        <v>2475992598.0693626</v>
      </c>
      <c r="E19" s="79">
        <f>'Fluxo e Duração do Passivo'!E21</f>
        <v>312481345.96482092</v>
      </c>
      <c r="F19" s="79">
        <f>'Fluxo e Duração do Passivo'!AS21+'Fluxo e Duração do Passivo'!AZ21</f>
        <v>563392548.4677</v>
      </c>
      <c r="G19" s="79">
        <f>'Fluxo e Duração do Passivo'!M21</f>
        <v>93744407.243169993</v>
      </c>
      <c r="H19" s="123">
        <f>'Fluxo e Duração do Passivo'!AO21</f>
        <v>0</v>
      </c>
      <c r="I19" s="123">
        <f>'Fluxo e Duração do Passivo'!AP21</f>
        <v>0</v>
      </c>
      <c r="J19" s="123">
        <f>'Fluxo e Duração do Passivo'!BK21</f>
        <v>-21585750.049539998</v>
      </c>
      <c r="K19" s="123">
        <f t="shared" si="0"/>
        <v>2591322755.3620725</v>
      </c>
      <c r="L19" s="124">
        <f>'Fluxo e Duração do Passivo'!BO21</f>
        <v>598380011.81323004</v>
      </c>
    </row>
    <row r="20" spans="1:12" x14ac:dyDescent="0.2">
      <c r="A20" s="119">
        <f t="shared" si="1"/>
        <v>2031</v>
      </c>
      <c r="B20" s="120">
        <f t="shared" si="1"/>
        <v>12</v>
      </c>
      <c r="C20" s="79">
        <f t="shared" si="2"/>
        <v>9229117162.4556389</v>
      </c>
      <c r="D20" s="79">
        <f t="shared" si="3"/>
        <v>2488372561.0597091</v>
      </c>
      <c r="E20" s="79">
        <f>'Fluxo e Duração do Passivo'!E22</f>
        <v>301082337.71208352</v>
      </c>
      <c r="F20" s="79">
        <f>'Fluxo e Duração do Passivo'!AS22+'Fluxo e Duração do Passivo'!AZ22</f>
        <v>555049323.55945003</v>
      </c>
      <c r="G20" s="79">
        <f>'Fluxo e Duração do Passivo'!M22</f>
        <v>90324704.508780003</v>
      </c>
      <c r="H20" s="123">
        <f>'Fluxo e Duração do Passivo'!AO22</f>
        <v>0</v>
      </c>
      <c r="I20" s="123">
        <f>'Fluxo e Duração do Passivo'!AP22</f>
        <v>0</v>
      </c>
      <c r="J20" s="123">
        <f>'Fluxo e Duração do Passivo'!BK22</f>
        <v>-12804602.70916</v>
      </c>
      <c r="K20" s="123">
        <f t="shared" si="0"/>
        <v>2591501868.2776489</v>
      </c>
      <c r="L20" s="124">
        <f>'Fluxo e Duração do Passivo'!BO22</f>
        <v>611305749.61204004</v>
      </c>
    </row>
    <row r="21" spans="1:12" x14ac:dyDescent="0.2">
      <c r="A21" s="119">
        <f t="shared" si="1"/>
        <v>2032</v>
      </c>
      <c r="B21" s="120">
        <f t="shared" si="1"/>
        <v>13</v>
      </c>
      <c r="C21" s="79">
        <f t="shared" si="2"/>
        <v>9690573020.5784206</v>
      </c>
      <c r="D21" s="79">
        <f t="shared" si="3"/>
        <v>2500814423.8650074</v>
      </c>
      <c r="E21" s="79">
        <f>'Fluxo e Duração do Passivo'!E23</f>
        <v>290575279.9745934</v>
      </c>
      <c r="F21" s="79">
        <f>'Fluxo e Duração do Passivo'!AS23+'Fluxo e Duração do Passivo'!AZ23</f>
        <v>544948820.29561996</v>
      </c>
      <c r="G21" s="79">
        <f>'Fluxo e Duração do Passivo'!M23</f>
        <v>87172586.824100003</v>
      </c>
      <c r="H21" s="123">
        <f>'Fluxo e Duração do Passivo'!AO23</f>
        <v>0</v>
      </c>
      <c r="I21" s="123">
        <f>'Fluxo e Duração do Passivo'!AP23</f>
        <v>0</v>
      </c>
      <c r="J21" s="123">
        <f>'Fluxo e Duração do Passivo'!BK23</f>
        <v>-3053038.8320300002</v>
      </c>
      <c r="K21" s="123">
        <f t="shared" si="0"/>
        <v>2591040049.5211372</v>
      </c>
      <c r="L21" s="124">
        <f>'Fluxo e Duração do Passivo'!BO23</f>
        <v>634538858.01332998</v>
      </c>
    </row>
    <row r="22" spans="1:12" x14ac:dyDescent="0.2">
      <c r="A22" s="119">
        <f t="shared" si="1"/>
        <v>2033</v>
      </c>
      <c r="B22" s="120">
        <f t="shared" si="1"/>
        <v>14</v>
      </c>
      <c r="C22" s="79">
        <f t="shared" si="2"/>
        <v>10175101671.607342</v>
      </c>
      <c r="D22" s="79">
        <f t="shared" si="3"/>
        <v>2513318495.9843321</v>
      </c>
      <c r="E22" s="79">
        <f>'Fluxo e Duração do Passivo'!E24</f>
        <v>278980827.70723456</v>
      </c>
      <c r="F22" s="79">
        <f>'Fluxo e Duração do Passivo'!AS24+'Fluxo e Duração do Passivo'!AZ24</f>
        <v>535197722.13081002</v>
      </c>
      <c r="G22" s="79">
        <f>'Fluxo e Duração do Passivo'!M24</f>
        <v>83694251.370289996</v>
      </c>
      <c r="H22" s="123">
        <f>'Fluxo e Duração do Passivo'!AO24</f>
        <v>0</v>
      </c>
      <c r="I22" s="123">
        <f>'Fluxo e Duração do Passivo'!AP24</f>
        <v>0</v>
      </c>
      <c r="J22" s="123">
        <f>'Fluxo e Duração do Passivo'!BK24</f>
        <v>5987537.2865599999</v>
      </c>
      <c r="K22" s="123">
        <f t="shared" si="0"/>
        <v>2597012747.3546219</v>
      </c>
      <c r="L22" s="124">
        <f>'Fluxo e Duração do Passivo'!BO24</f>
        <v>667811566.19446003</v>
      </c>
    </row>
    <row r="23" spans="1:12" x14ac:dyDescent="0.2">
      <c r="A23" s="119">
        <f t="shared" si="1"/>
        <v>2034</v>
      </c>
      <c r="B23" s="120">
        <f t="shared" si="1"/>
        <v>15</v>
      </c>
      <c r="C23" s="79">
        <f t="shared" si="2"/>
        <v>10683856755.18771</v>
      </c>
      <c r="D23" s="79">
        <f t="shared" si="3"/>
        <v>2525885088.4642534</v>
      </c>
      <c r="E23" s="79">
        <f>'Fluxo e Duração do Passivo'!E25</f>
        <v>265861652.53981647</v>
      </c>
      <c r="F23" s="79">
        <f>'Fluxo e Duração do Passivo'!AS25+'Fluxo e Duração do Passivo'!AZ25</f>
        <v>525783947.22105998</v>
      </c>
      <c r="G23" s="79">
        <f>'Fluxo e Duração do Passivo'!M25</f>
        <v>79758498.658999994</v>
      </c>
      <c r="H23" s="123">
        <f>'Fluxo e Duração do Passivo'!AO25</f>
        <v>0</v>
      </c>
      <c r="I23" s="123">
        <f>'Fluxo e Duração do Passivo'!AP25</f>
        <v>0</v>
      </c>
      <c r="J23" s="123">
        <f>'Fluxo e Duração do Passivo'!BK25</f>
        <v>73266365.269710004</v>
      </c>
      <c r="K23" s="123">
        <f t="shared" si="0"/>
        <v>2605643587.1232533</v>
      </c>
      <c r="L23" s="124">
        <f>'Fluxo e Duração do Passivo'!BO25</f>
        <v>769793828.81052995</v>
      </c>
    </row>
    <row r="24" spans="1:12" x14ac:dyDescent="0.2">
      <c r="A24" s="119">
        <f t="shared" si="1"/>
        <v>2035</v>
      </c>
      <c r="B24" s="120">
        <f t="shared" si="1"/>
        <v>16</v>
      </c>
      <c r="C24" s="79">
        <f t="shared" si="2"/>
        <v>11218049592.947096</v>
      </c>
      <c r="D24" s="79">
        <f t="shared" si="3"/>
        <v>2538514513.9065742</v>
      </c>
      <c r="E24" s="79">
        <f>'Fluxo e Duração do Passivo'!E26</f>
        <v>250754065.0385035</v>
      </c>
      <c r="F24" s="79">
        <f>'Fluxo e Duração do Passivo'!AS26+'Fluxo e Duração do Passivo'!AZ26</f>
        <v>517363658.83741999</v>
      </c>
      <c r="G24" s="79">
        <f>'Fluxo e Duração do Passivo'!M26</f>
        <v>75226222.957540005</v>
      </c>
      <c r="H24" s="123">
        <f>'Fluxo e Duração do Passivo'!AO26</f>
        <v>0</v>
      </c>
      <c r="I24" s="123">
        <f>'Fluxo e Duração do Passivo'!AP26</f>
        <v>0</v>
      </c>
      <c r="J24" s="123">
        <f>'Fluxo e Duração do Passivo'!BK26</f>
        <v>13476624.50333</v>
      </c>
      <c r="K24" s="123">
        <f t="shared" si="0"/>
        <v>2613740736.8641143</v>
      </c>
      <c r="L24" s="124">
        <f>'Fluxo e Duração do Passivo'!BO26</f>
        <v>816371587.95271003</v>
      </c>
    </row>
    <row r="25" spans="1:12" x14ac:dyDescent="0.2">
      <c r="A25" s="119">
        <f t="shared" si="1"/>
        <v>2036</v>
      </c>
      <c r="B25" s="120">
        <f t="shared" si="1"/>
        <v>17</v>
      </c>
      <c r="C25" s="79">
        <f t="shared" si="2"/>
        <v>11778952072.594452</v>
      </c>
      <c r="D25" s="79">
        <f t="shared" si="3"/>
        <v>2551207086.4761066</v>
      </c>
      <c r="E25" s="79">
        <f>'Fluxo e Duração do Passivo'!E27</f>
        <v>235136332.15056849</v>
      </c>
      <c r="F25" s="79">
        <f>'Fluxo e Duração do Passivo'!AS27+'Fluxo e Duração do Passivo'!AZ27</f>
        <v>508811047.80957997</v>
      </c>
      <c r="G25" s="79">
        <f>'Fluxo e Duração do Passivo'!M27</f>
        <v>70540902.424099997</v>
      </c>
      <c r="H25" s="123">
        <f>'Fluxo e Duração do Passivo'!AO27</f>
        <v>0</v>
      </c>
      <c r="I25" s="123">
        <f>'Fluxo e Duração do Passivo'!AP27</f>
        <v>0</v>
      </c>
      <c r="J25" s="123">
        <f>'Fluxo e Duração do Passivo'!BK27</f>
        <v>8339529.4141199999</v>
      </c>
      <c r="K25" s="123">
        <f t="shared" si="0"/>
        <v>2621747988.9002066</v>
      </c>
      <c r="L25" s="124">
        <f>'Fluxo e Duração do Passivo'!BO27</f>
        <v>859815095.64880002</v>
      </c>
    </row>
    <row r="26" spans="1:12" x14ac:dyDescent="0.2">
      <c r="A26" s="119">
        <f t="shared" ref="A26:B41" si="4">A25+1</f>
        <v>2037</v>
      </c>
      <c r="B26" s="120">
        <f t="shared" si="4"/>
        <v>18</v>
      </c>
      <c r="C26" s="79">
        <f t="shared" si="2"/>
        <v>12367899676.224174</v>
      </c>
      <c r="D26" s="79">
        <f t="shared" si="3"/>
        <v>2563963121.9084868</v>
      </c>
      <c r="E26" s="79">
        <f>'Fluxo e Duração do Passivo'!E28</f>
        <v>219228285.11431175</v>
      </c>
      <c r="F26" s="79">
        <f>'Fluxo e Duração do Passivo'!AS28+'Fluxo e Duração do Passivo'!AZ28</f>
        <v>500085088.60427999</v>
      </c>
      <c r="G26" s="79">
        <f>'Fluxo e Duração do Passivo'!M28</f>
        <v>65768488.298330002</v>
      </c>
      <c r="H26" s="123">
        <f>'Fluxo e Duração do Passivo'!AO28</f>
        <v>0</v>
      </c>
      <c r="I26" s="123">
        <f>'Fluxo e Duração do Passivo'!AP28</f>
        <v>0</v>
      </c>
      <c r="J26" s="123">
        <f>'Fluxo e Duração do Passivo'!BK28</f>
        <v>12824998.583249999</v>
      </c>
      <c r="K26" s="123">
        <f t="shared" si="0"/>
        <v>2629731610.2068167</v>
      </c>
      <c r="L26" s="124">
        <f>'Fluxo e Duração do Passivo'!BO28</f>
        <v>909612143.34494996</v>
      </c>
    </row>
    <row r="27" spans="1:12" x14ac:dyDescent="0.2">
      <c r="A27" s="119">
        <f t="shared" si="4"/>
        <v>2038</v>
      </c>
      <c r="B27" s="120">
        <f t="shared" si="4"/>
        <v>19</v>
      </c>
      <c r="C27" s="79">
        <f t="shared" si="2"/>
        <v>12986294660.035383</v>
      </c>
      <c r="D27" s="79">
        <f t="shared" si="3"/>
        <v>2576782937.5180292</v>
      </c>
      <c r="E27" s="79">
        <f>'Fluxo e Duração do Passivo'!E29</f>
        <v>203671911.96513847</v>
      </c>
      <c r="F27" s="79">
        <f>'Fluxo e Duração do Passivo'!AS29+'Fluxo e Duração do Passivo'!AZ29</f>
        <v>490700535.61137998</v>
      </c>
      <c r="G27" s="79">
        <f>'Fluxo e Duração do Passivo'!M29</f>
        <v>61101575.93135</v>
      </c>
      <c r="H27" s="123">
        <f>'Fluxo e Duração do Passivo'!AO29</f>
        <v>0</v>
      </c>
      <c r="I27" s="123">
        <f>'Fluxo e Duração do Passivo'!AP29</f>
        <v>0</v>
      </c>
      <c r="J27" s="123">
        <f>'Fluxo e Duração do Passivo'!BK29</f>
        <v>17649857.497579999</v>
      </c>
      <c r="K27" s="123">
        <f t="shared" si="0"/>
        <v>2637884513.4493794</v>
      </c>
      <c r="L27" s="124">
        <f>'Fluxo e Duração do Passivo'!BO29</f>
        <v>966375323.00636005</v>
      </c>
    </row>
    <row r="28" spans="1:12" x14ac:dyDescent="0.2">
      <c r="A28" s="119">
        <f t="shared" si="4"/>
        <v>2039</v>
      </c>
      <c r="B28" s="120">
        <f t="shared" si="4"/>
        <v>20</v>
      </c>
      <c r="C28" s="79">
        <f t="shared" si="2"/>
        <v>13635609393.037153</v>
      </c>
      <c r="D28" s="79">
        <f t="shared" si="3"/>
        <v>2589666852.2056189</v>
      </c>
      <c r="E28" s="79">
        <f>'Fluxo e Duração do Passivo'!E30</f>
        <v>185709719.46916857</v>
      </c>
      <c r="F28" s="79">
        <f>'Fluxo e Duração do Passivo'!AS30+'Fluxo e Duração do Passivo'!AZ30</f>
        <v>483108564.61005998</v>
      </c>
      <c r="G28" s="79">
        <f>'Fluxo e Duração do Passivo'!M30</f>
        <v>55712917.899149999</v>
      </c>
      <c r="H28" s="123">
        <f>'Fluxo e Duração do Passivo'!AO30</f>
        <v>0</v>
      </c>
      <c r="I28" s="123">
        <f>'Fluxo e Duração do Passivo'!AP30</f>
        <v>0</v>
      </c>
      <c r="J28" s="123">
        <f>'Fluxo e Duração do Passivo'!BK30</f>
        <v>79901123.063639998</v>
      </c>
      <c r="K28" s="123">
        <f t="shared" si="0"/>
        <v>2645379770.1047688</v>
      </c>
      <c r="L28" s="124">
        <f>'Fluxo e Duração do Passivo'!BO30</f>
        <v>1087830584.95927</v>
      </c>
    </row>
    <row r="29" spans="1:12" x14ac:dyDescent="0.2">
      <c r="A29" s="119">
        <f t="shared" si="4"/>
        <v>2040</v>
      </c>
      <c r="B29" s="120">
        <f t="shared" si="4"/>
        <v>21</v>
      </c>
      <c r="C29" s="79">
        <f t="shared" si="2"/>
        <v>14317389862.689011</v>
      </c>
      <c r="D29" s="79">
        <f t="shared" si="3"/>
        <v>2602615186.4666467</v>
      </c>
      <c r="E29" s="79">
        <f>'Fluxo e Duração do Passivo'!E31</f>
        <v>167941626.24216717</v>
      </c>
      <c r="F29" s="79">
        <f>'Fluxo e Duração do Passivo'!AS31+'Fluxo e Duração do Passivo'!AZ31</f>
        <v>475152516.51345003</v>
      </c>
      <c r="G29" s="79">
        <f>'Fluxo e Duração do Passivo'!M31</f>
        <v>50382489.883249998</v>
      </c>
      <c r="H29" s="123">
        <f>'Fluxo e Duração do Passivo'!AO31</f>
        <v>0</v>
      </c>
      <c r="I29" s="123">
        <f>'Fluxo e Duração do Passivo'!AP31</f>
        <v>0</v>
      </c>
      <c r="J29" s="123">
        <f>'Fluxo e Duração do Passivo'!BK31</f>
        <v>21945182.670510001</v>
      </c>
      <c r="K29" s="123">
        <f t="shared" si="0"/>
        <v>2652997676.3498964</v>
      </c>
      <c r="L29" s="124">
        <f>'Fluxo e Duração do Passivo'!BO31</f>
        <v>1156552482.78303</v>
      </c>
    </row>
    <row r="30" spans="1:12" x14ac:dyDescent="0.2">
      <c r="A30" s="119">
        <f t="shared" si="4"/>
        <v>2041</v>
      </c>
      <c r="B30" s="120">
        <f t="shared" si="4"/>
        <v>22</v>
      </c>
      <c r="C30" s="79">
        <f t="shared" si="2"/>
        <v>15033259355.823462</v>
      </c>
      <c r="D30" s="79">
        <f t="shared" si="3"/>
        <v>2615628262.3989797</v>
      </c>
      <c r="E30" s="79">
        <f>'Fluxo e Duração do Passivo'!E32</f>
        <v>148260464.10568923</v>
      </c>
      <c r="F30" s="79">
        <f>'Fluxo e Duração do Passivo'!AS32+'Fluxo e Duração do Passivo'!AZ32</f>
        <v>468889520.51673996</v>
      </c>
      <c r="G30" s="79">
        <f>'Fluxo e Duração do Passivo'!M32</f>
        <v>44478140.862130001</v>
      </c>
      <c r="H30" s="123">
        <f>'Fluxo e Duração do Passivo'!AO32</f>
        <v>0</v>
      </c>
      <c r="I30" s="123">
        <f>'Fluxo e Duração do Passivo'!AP32</f>
        <v>0</v>
      </c>
      <c r="J30" s="123">
        <f>'Fluxo e Duração do Passivo'!BK32</f>
        <v>21380014.11459</v>
      </c>
      <c r="K30" s="123">
        <f t="shared" si="0"/>
        <v>2660106403.2611098</v>
      </c>
      <c r="L30" s="124">
        <f>'Fluxo e Duração do Passivo'!BO32</f>
        <v>1227664253.65729</v>
      </c>
    </row>
    <row r="31" spans="1:12" x14ac:dyDescent="0.2">
      <c r="A31" s="119">
        <f t="shared" si="4"/>
        <v>2042</v>
      </c>
      <c r="B31" s="120">
        <f t="shared" si="4"/>
        <v>23</v>
      </c>
      <c r="C31" s="79">
        <f t="shared" si="2"/>
        <v>15784922323.614635</v>
      </c>
      <c r="D31" s="79">
        <f t="shared" si="3"/>
        <v>2628706403.7109742</v>
      </c>
      <c r="E31" s="79">
        <f>'Fluxo e Duração do Passivo'!E33</f>
        <v>130934677.51479903</v>
      </c>
      <c r="F31" s="79">
        <f>'Fluxo e Duração do Passivo'!AS33+'Fluxo e Duração do Passivo'!AZ33</f>
        <v>460663953.16312003</v>
      </c>
      <c r="G31" s="79">
        <f>'Fluxo e Duração do Passivo'!M33</f>
        <v>39280404.828670003</v>
      </c>
      <c r="H31" s="123">
        <f>'Fluxo e Duração do Passivo'!AO33</f>
        <v>0</v>
      </c>
      <c r="I31" s="123">
        <f>'Fluxo e Duração do Passivo'!AP33</f>
        <v>0</v>
      </c>
      <c r="J31" s="123">
        <f>'Fluxo e Duração do Passivo'!BK33</f>
        <v>22990591.495639998</v>
      </c>
      <c r="K31" s="123">
        <f t="shared" si="0"/>
        <v>2667986808.5396442</v>
      </c>
      <c r="L31" s="124">
        <f>'Fluxo e Duração do Passivo'!BO33</f>
        <v>1303444408.06019</v>
      </c>
    </row>
    <row r="32" spans="1:12" x14ac:dyDescent="0.2">
      <c r="A32" s="119">
        <f t="shared" si="4"/>
        <v>2043</v>
      </c>
      <c r="B32" s="120">
        <f t="shared" si="4"/>
        <v>24</v>
      </c>
      <c r="C32" s="79">
        <f t="shared" si="2"/>
        <v>16574168439.795368</v>
      </c>
      <c r="D32" s="79">
        <f t="shared" si="3"/>
        <v>2641849935.7295289</v>
      </c>
      <c r="E32" s="79">
        <f>'Fluxo e Duração do Passivo'!E34</f>
        <v>113438905.74889843</v>
      </c>
      <c r="F32" s="79">
        <f>'Fluxo e Duração do Passivo'!AS34+'Fluxo e Duração do Passivo'!AZ34</f>
        <v>452817903.91497999</v>
      </c>
      <c r="G32" s="79">
        <f>'Fluxo e Duração do Passivo'!M34</f>
        <v>34031672.892870001</v>
      </c>
      <c r="H32" s="123">
        <f>'Fluxo e Duração do Passivo'!AO34</f>
        <v>0</v>
      </c>
      <c r="I32" s="123">
        <f>'Fluxo e Duração do Passivo'!AP34</f>
        <v>0</v>
      </c>
      <c r="J32" s="123">
        <f>'Fluxo e Duração do Passivo'!BK34</f>
        <v>23707963.96948</v>
      </c>
      <c r="K32" s="123">
        <f t="shared" si="0"/>
        <v>2675881608.6223989</v>
      </c>
      <c r="L32" s="124">
        <f>'Fluxo e Duração do Passivo'!BO34</f>
        <v>1383200481.5762601</v>
      </c>
    </row>
    <row r="33" spans="1:13" x14ac:dyDescent="0.2">
      <c r="A33" s="119">
        <f t="shared" si="4"/>
        <v>2044</v>
      </c>
      <c r="B33" s="120">
        <f t="shared" si="4"/>
        <v>25</v>
      </c>
      <c r="C33" s="79">
        <f t="shared" si="2"/>
        <v>17402876861.785137</v>
      </c>
      <c r="D33" s="79">
        <f t="shared" si="3"/>
        <v>2655059185.4081764</v>
      </c>
      <c r="E33" s="79">
        <f>'Fluxo e Duração do Passivo'!E35</f>
        <v>95687526.88232334</v>
      </c>
      <c r="F33" s="79">
        <f>'Fluxo e Duração do Passivo'!AS35+'Fluxo e Duração do Passivo'!AZ35</f>
        <v>445633292.39574999</v>
      </c>
      <c r="G33" s="79">
        <f>'Fluxo e Duração do Passivo'!M35</f>
        <v>28706259.451340001</v>
      </c>
      <c r="H33" s="123">
        <f>'Fluxo e Duração do Passivo'!AO35</f>
        <v>0</v>
      </c>
      <c r="I33" s="123">
        <f>'Fluxo e Duração do Passivo'!AP35</f>
        <v>0</v>
      </c>
      <c r="J33" s="123">
        <f>'Fluxo e Duração do Passivo'!BK35</f>
        <v>82999033.151140004</v>
      </c>
      <c r="K33" s="123">
        <f t="shared" si="0"/>
        <v>2683765444.8595166</v>
      </c>
      <c r="L33" s="124">
        <f>'Fluxo e Duração do Passivo'!BO35</f>
        <v>1525677135.4351799</v>
      </c>
    </row>
    <row r="34" spans="1:13" x14ac:dyDescent="0.2">
      <c r="A34" s="119">
        <f t="shared" si="4"/>
        <v>2045</v>
      </c>
      <c r="B34" s="120">
        <f t="shared" si="4"/>
        <v>26</v>
      </c>
      <c r="C34" s="79">
        <f t="shared" si="2"/>
        <v>18273020704.874393</v>
      </c>
      <c r="D34" s="79">
        <f t="shared" si="3"/>
        <v>2668334481.335217</v>
      </c>
      <c r="E34" s="79">
        <f>'Fluxo e Duração do Passivo'!E36</f>
        <v>79373827.749361187</v>
      </c>
      <c r="F34" s="79">
        <f>'Fluxo e Duração do Passivo'!AS36+'Fluxo e Duração do Passivo'!AZ36</f>
        <v>437638652.54865003</v>
      </c>
      <c r="G34" s="79">
        <f>'Fluxo e Duração do Passivo'!M36</f>
        <v>23812149.22586</v>
      </c>
      <c r="H34" s="123">
        <f>'Fluxo e Duração do Passivo'!AO36</f>
        <v>0</v>
      </c>
      <c r="I34" s="123">
        <f>'Fluxo e Duração do Passivo'!AP36</f>
        <v>0</v>
      </c>
      <c r="J34" s="123">
        <f>'Fluxo e Duração do Passivo'!BK36</f>
        <v>23322954.539489999</v>
      </c>
      <c r="K34" s="123">
        <f t="shared" si="0"/>
        <v>2692146630.5610771</v>
      </c>
      <c r="L34" s="124">
        <f>'Fluxo e Duração do Passivo'!BO36</f>
        <v>1614604206.7983799</v>
      </c>
    </row>
    <row r="35" spans="1:13" x14ac:dyDescent="0.2">
      <c r="A35" s="119">
        <f t="shared" si="4"/>
        <v>2046</v>
      </c>
      <c r="B35" s="120">
        <f>B34+1</f>
        <v>27</v>
      </c>
      <c r="C35" s="79">
        <f t="shared" si="2"/>
        <v>19186671740.118114</v>
      </c>
      <c r="D35" s="79">
        <f t="shared" si="3"/>
        <v>2681676153.7418928</v>
      </c>
      <c r="E35" s="79">
        <f>'Fluxo e Duração do Passivo'!E37</f>
        <v>62583078.132624462</v>
      </c>
      <c r="F35" s="79">
        <f>'Fluxo e Duração do Passivo'!AS37+'Fluxo e Duração do Passivo'!AZ37</f>
        <v>430545305.03995997</v>
      </c>
      <c r="G35" s="79">
        <f>'Fluxo e Duração do Passivo'!M37</f>
        <v>18774924.24549</v>
      </c>
      <c r="H35" s="123">
        <f>'Fluxo e Duração do Passivo'!AO37</f>
        <v>0</v>
      </c>
      <c r="I35" s="123">
        <f>'Fluxo e Duração do Passivo'!AP37</f>
        <v>0</v>
      </c>
      <c r="J35" s="123">
        <f>'Fluxo e Duração do Passivo'!BK37</f>
        <v>22244448.689240001</v>
      </c>
      <c r="K35" s="123">
        <f t="shared" si="0"/>
        <v>2700451077.9873829</v>
      </c>
      <c r="L35" s="124">
        <f>'Fluxo e Duração do Passivo'!BO37</f>
        <v>1706276636.37995</v>
      </c>
    </row>
    <row r="36" spans="1:13" x14ac:dyDescent="0.2">
      <c r="A36" s="119">
        <f t="shared" si="4"/>
        <v>2047</v>
      </c>
      <c r="B36" s="120">
        <f t="shared" si="4"/>
        <v>28</v>
      </c>
      <c r="C36" s="79">
        <f t="shared" si="2"/>
        <v>20146005327.12402</v>
      </c>
      <c r="D36" s="79">
        <f t="shared" si="3"/>
        <v>2695084534.510602</v>
      </c>
      <c r="E36" s="79">
        <f>'Fluxo e Duração do Passivo'!E38</f>
        <v>48203583.385502249</v>
      </c>
      <c r="F36" s="79">
        <f>'Fluxo e Duração do Passivo'!AS38+'Fluxo e Duração do Passivo'!AZ38</f>
        <v>422163557.75011003</v>
      </c>
      <c r="G36" s="79">
        <f>'Fluxo e Duração do Passivo'!M38</f>
        <v>14461075.614460001</v>
      </c>
      <c r="H36" s="123">
        <f>'Fluxo e Duração do Passivo'!AO38</f>
        <v>0</v>
      </c>
      <c r="I36" s="123">
        <f>'Fluxo e Duração do Passivo'!AP38</f>
        <v>0</v>
      </c>
      <c r="J36" s="123">
        <f>'Fluxo e Duração do Passivo'!BK38</f>
        <v>22922319.877050001</v>
      </c>
      <c r="K36" s="123">
        <f t="shared" si="0"/>
        <v>2709545610.125062</v>
      </c>
      <c r="L36" s="124">
        <f>'Fluxo e Duração do Passivo'!BO38</f>
        <v>1802568851.62134</v>
      </c>
    </row>
    <row r="37" spans="1:13" x14ac:dyDescent="0.2">
      <c r="A37" s="119">
        <f t="shared" si="4"/>
        <v>2048</v>
      </c>
      <c r="B37" s="120">
        <f t="shared" si="4"/>
        <v>29</v>
      </c>
      <c r="C37" s="79">
        <f t="shared" si="2"/>
        <v>21153305593.480221</v>
      </c>
      <c r="D37" s="79">
        <f t="shared" si="3"/>
        <v>2708559957.1831546</v>
      </c>
      <c r="E37" s="79">
        <f>'Fluxo e Duração do Passivo'!E39</f>
        <v>37705779.347368002</v>
      </c>
      <c r="F37" s="79">
        <f>'Fluxo e Duração do Passivo'!AS39+'Fluxo e Duração do Passivo'!AZ39</f>
        <v>411373499.62840998</v>
      </c>
      <c r="G37" s="79">
        <f>'Fluxo e Duração do Passivo'!M39</f>
        <v>11311734.223540001</v>
      </c>
      <c r="H37" s="123">
        <f>'Fluxo e Duração do Passivo'!AO39</f>
        <v>0</v>
      </c>
      <c r="I37" s="123">
        <f>'Fluxo e Duração do Passivo'!AP39</f>
        <v>0</v>
      </c>
      <c r="J37" s="123">
        <f>'Fluxo e Duração do Passivo'!BK39</f>
        <v>27168342.257649999</v>
      </c>
      <c r="K37" s="123">
        <f t="shared" si="0"/>
        <v>2719871691.4066944</v>
      </c>
      <c r="L37" s="124">
        <f>'Fluxo e Duração do Passivo'!BO39</f>
        <v>1907247654.4987099</v>
      </c>
    </row>
    <row r="38" spans="1:13" x14ac:dyDescent="0.2">
      <c r="A38" s="119">
        <f t="shared" si="4"/>
        <v>2049</v>
      </c>
      <c r="B38" s="120">
        <f t="shared" si="4"/>
        <v>30</v>
      </c>
      <c r="C38" s="79">
        <f t="shared" si="2"/>
        <v>22210970873.154232</v>
      </c>
      <c r="D38" s="79">
        <f t="shared" si="3"/>
        <v>2722102756.96907</v>
      </c>
      <c r="E38" s="79">
        <f>'Fluxo e Duração do Passivo'!E40</f>
        <v>28444898.993489917</v>
      </c>
      <c r="F38" s="79">
        <f>'Fluxo e Duração do Passivo'!AS40+'Fluxo e Duração do Passivo'!AZ40</f>
        <v>400441631.73500001</v>
      </c>
      <c r="G38" s="79">
        <f>'Fluxo e Duração do Passivo'!M40</f>
        <v>8533470.0512700006</v>
      </c>
      <c r="H38" s="123">
        <f>'Fluxo e Duração do Passivo'!AO40</f>
        <v>0</v>
      </c>
      <c r="I38" s="123">
        <f>'Fluxo e Duração do Passivo'!AP40</f>
        <v>0</v>
      </c>
      <c r="J38" s="123">
        <f>'Fluxo e Duração do Passivo'!BK40</f>
        <v>91699458.971709996</v>
      </c>
      <c r="K38" s="123">
        <f t="shared" si="0"/>
        <v>2730636227.02034</v>
      </c>
      <c r="L38" s="124">
        <f>'Fluxo e Duração do Passivo'!BO40</f>
        <v>2080958762.6138599</v>
      </c>
    </row>
    <row r="39" spans="1:13" x14ac:dyDescent="0.2">
      <c r="A39" s="119">
        <f t="shared" si="4"/>
        <v>2050</v>
      </c>
      <c r="B39" s="120">
        <f t="shared" si="4"/>
        <v>31</v>
      </c>
      <c r="C39" s="79">
        <f t="shared" si="2"/>
        <v>23321519416.811943</v>
      </c>
      <c r="D39" s="79">
        <f t="shared" si="3"/>
        <v>2735713270.7539148</v>
      </c>
      <c r="E39" s="79">
        <f>'Fluxo e Duração do Passivo'!E41</f>
        <v>19629368.366719883</v>
      </c>
      <c r="F39" s="79">
        <f>'Fluxo e Duração do Passivo'!AS41+'Fluxo e Duração do Passivo'!AZ41</f>
        <v>389893502.99908</v>
      </c>
      <c r="G39" s="79">
        <f>'Fluxo e Duração do Passivo'!M41</f>
        <v>5888810.7621099995</v>
      </c>
      <c r="H39" s="123">
        <f>'Fluxo e Duração do Passivo'!AO41</f>
        <v>0</v>
      </c>
      <c r="I39" s="123">
        <f>'Fluxo e Duração do Passivo'!AP41</f>
        <v>0</v>
      </c>
      <c r="J39" s="123">
        <f>'Fluxo e Duração do Passivo'!BK41</f>
        <v>35963977.574890003</v>
      </c>
      <c r="K39" s="123">
        <f t="shared" si="0"/>
        <v>2741602081.5160251</v>
      </c>
      <c r="L39" s="124">
        <f>'Fluxo e Duração do Passivo'!BO41</f>
        <v>2206403966.9811502</v>
      </c>
    </row>
    <row r="40" spans="1:13" x14ac:dyDescent="0.2">
      <c r="A40" s="119">
        <f t="shared" si="4"/>
        <v>2051</v>
      </c>
      <c r="B40" s="120">
        <f t="shared" si="4"/>
        <v>32</v>
      </c>
      <c r="C40" s="79">
        <f t="shared" si="2"/>
        <v>24487595387.652542</v>
      </c>
      <c r="D40" s="79">
        <f t="shared" si="3"/>
        <v>2749391837.1076841</v>
      </c>
      <c r="E40" s="79">
        <f>'Fluxo e Duração do Passivo'!E42</f>
        <v>13368437.808142377</v>
      </c>
      <c r="F40" s="79">
        <f>'Fluxo e Duração do Passivo'!AS42+'Fluxo e Duração do Passivo'!AZ42</f>
        <v>378344475.16496003</v>
      </c>
      <c r="G40" s="79">
        <f>'Fluxo e Duração do Passivo'!M42</f>
        <v>4010531.5266399998</v>
      </c>
      <c r="H40" s="123">
        <f>'Fluxo e Duração do Passivo'!AO42</f>
        <v>0</v>
      </c>
      <c r="I40" s="123">
        <f>'Fluxo e Duração do Passivo'!AP42</f>
        <v>0</v>
      </c>
      <c r="J40" s="123">
        <f>'Fluxo e Duração do Passivo'!BK42</f>
        <v>41988262.700230002</v>
      </c>
      <c r="K40" s="123">
        <f t="shared" si="0"/>
        <v>2753402368.6343241</v>
      </c>
      <c r="L40" s="124">
        <f>'Fluxo e Duração do Passivo'!BO42</f>
        <v>2343267600.26157</v>
      </c>
    </row>
    <row r="41" spans="1:13" x14ac:dyDescent="0.2">
      <c r="A41" s="119">
        <f t="shared" si="4"/>
        <v>2052</v>
      </c>
      <c r="B41" s="120">
        <f t="shared" si="4"/>
        <v>33</v>
      </c>
      <c r="C41" s="79">
        <f t="shared" si="2"/>
        <v>25711975157.035172</v>
      </c>
      <c r="D41" s="79">
        <f t="shared" si="3"/>
        <v>2763138796.2932224</v>
      </c>
      <c r="E41" s="79">
        <f>'Fluxo e Duração do Passivo'!E43</f>
        <v>7979058.8177589625</v>
      </c>
      <c r="F41" s="79">
        <f>'Fluxo e Duração do Passivo'!AS43+'Fluxo e Duração do Passivo'!AZ43</f>
        <v>366936497.11092001</v>
      </c>
      <c r="G41" s="79">
        <f>'Fluxo e Duração do Passivo'!M43</f>
        <v>2393717.75813</v>
      </c>
      <c r="H41" s="123">
        <f>'Fluxo e Duração do Passivo'!AO43</f>
        <v>0</v>
      </c>
      <c r="I41" s="123">
        <f>'Fluxo e Duração do Passivo'!AP43</f>
        <v>0</v>
      </c>
      <c r="J41" s="123">
        <f>'Fluxo e Duração do Passivo'!BK43</f>
        <v>48143106.833570004</v>
      </c>
      <c r="K41" s="123">
        <f t="shared" si="0"/>
        <v>2765532514.0513525</v>
      </c>
      <c r="L41" s="124">
        <f>'Fluxo e Duração do Passivo'!BO43</f>
        <v>2492171213.9063902</v>
      </c>
    </row>
    <row r="42" spans="1:13" x14ac:dyDescent="0.2">
      <c r="A42" s="119">
        <f>A41+1</f>
        <v>2053</v>
      </c>
      <c r="B42" s="120">
        <f>B41+1</f>
        <v>34</v>
      </c>
      <c r="C42" s="79">
        <f t="shared" si="2"/>
        <v>26997573914.886932</v>
      </c>
      <c r="D42" s="79">
        <f t="shared" si="3"/>
        <v>2776954490.2746882</v>
      </c>
      <c r="E42" s="79">
        <f>'Fluxo e Duração do Passivo'!E44</f>
        <v>5251075.5397533132</v>
      </c>
      <c r="F42" s="79">
        <f>'Fluxo e Duração do Passivo'!AS44+'Fluxo e Duração do Passivo'!AZ44</f>
        <v>354343208.25105</v>
      </c>
      <c r="G42" s="79">
        <f>'Fluxo e Duração do Passivo'!M44</f>
        <v>1575322.72398</v>
      </c>
      <c r="H42" s="123">
        <f>'Fluxo e Duração do Passivo'!AO44</f>
        <v>0</v>
      </c>
      <c r="I42" s="123">
        <f>'Fluxo e Duração do Passivo'!AP44</f>
        <v>0</v>
      </c>
      <c r="J42" s="123">
        <f>'Fluxo e Duração do Passivo'!BK44</f>
        <v>56369100.887809999</v>
      </c>
      <c r="K42" s="123">
        <f t="shared" si="0"/>
        <v>2778529812.9986682</v>
      </c>
      <c r="L42" s="124">
        <f>'Fluxo e Duração do Passivo'!BO44</f>
        <v>2655703676.9921799</v>
      </c>
    </row>
    <row r="43" spans="1:13" ht="13.5" thickBot="1" x14ac:dyDescent="0.25">
      <c r="A43" s="121">
        <f>A42+1</f>
        <v>2054</v>
      </c>
      <c r="B43" s="122">
        <f>B42+1</f>
        <v>35</v>
      </c>
      <c r="C43" s="79">
        <f t="shared" si="2"/>
        <v>28347452610.631279</v>
      </c>
      <c r="D43" s="79">
        <f t="shared" si="3"/>
        <v>2790839262.7260613</v>
      </c>
      <c r="E43" s="79">
        <f>'Fluxo e Duração do Passivo'!E45</f>
        <v>2514233.3985689837</v>
      </c>
      <c r="F43" s="79">
        <f>'Fluxo e Duração do Passivo'!AS45+'Fluxo e Duração do Passivo'!AZ45</f>
        <v>342557751.46345001</v>
      </c>
      <c r="G43" s="79">
        <f>'Fluxo e Duração do Passivo'!M45</f>
        <v>754270.05166</v>
      </c>
      <c r="H43" s="123">
        <f>'Fluxo e Duração do Passivo'!AO45</f>
        <v>0</v>
      </c>
      <c r="I43" s="123">
        <f>'Fluxo e Duração do Passivo'!AP45</f>
        <v>0</v>
      </c>
      <c r="J43" s="123">
        <f>'Fluxo e Duração do Passivo'!BK45</f>
        <v>123712604.3758</v>
      </c>
      <c r="K43" s="123">
        <f t="shared" si="0"/>
        <v>2791593532.7777214</v>
      </c>
      <c r="L43" s="124">
        <f>'Fluxo e Duração do Passivo'!BO45</f>
        <v>2893611539.4786401</v>
      </c>
    </row>
    <row r="44" spans="1:13" s="68" customFormat="1" x14ac:dyDescent="0.2">
      <c r="M44" s="75"/>
    </row>
    <row r="45" spans="1:13" s="68" customFormat="1" x14ac:dyDescent="0.2">
      <c r="M45" s="75"/>
    </row>
    <row r="46" spans="1:13" s="68" customFormat="1" hidden="1" x14ac:dyDescent="0.2">
      <c r="M46" s="75"/>
    </row>
    <row r="47" spans="1:13" s="68" customFormat="1" hidden="1" x14ac:dyDescent="0.2">
      <c r="M47" s="75"/>
    </row>
    <row r="48" spans="1:13" s="68" customFormat="1" hidden="1" x14ac:dyDescent="0.2">
      <c r="M48" s="75"/>
    </row>
    <row r="49" spans="13:13" s="68" customFormat="1" hidden="1" x14ac:dyDescent="0.2">
      <c r="M49" s="75"/>
    </row>
    <row r="50" spans="13:13" s="68" customFormat="1" hidden="1" x14ac:dyDescent="0.2">
      <c r="M50" s="75"/>
    </row>
    <row r="51" spans="13:13" s="68" customFormat="1" hidden="1" x14ac:dyDescent="0.2">
      <c r="M51" s="75"/>
    </row>
    <row r="52" spans="13:13" s="68" customFormat="1" hidden="1" x14ac:dyDescent="0.2">
      <c r="M52" s="75"/>
    </row>
    <row r="53" spans="13:13" s="68" customFormat="1" hidden="1" x14ac:dyDescent="0.2">
      <c r="M53" s="75"/>
    </row>
    <row r="54" spans="13:13" s="68" customFormat="1" hidden="1" x14ac:dyDescent="0.2">
      <c r="M54" s="75"/>
    </row>
    <row r="55" spans="13:13" s="68" customFormat="1" hidden="1" x14ac:dyDescent="0.2">
      <c r="M55" s="75"/>
    </row>
    <row r="56" spans="13:13" s="68" customFormat="1" hidden="1" x14ac:dyDescent="0.2">
      <c r="M56" s="75"/>
    </row>
    <row r="57" spans="13:13" s="68" customFormat="1" hidden="1" x14ac:dyDescent="0.2">
      <c r="M57" s="75"/>
    </row>
    <row r="58" spans="13:13" s="68" customFormat="1" hidden="1" x14ac:dyDescent="0.2">
      <c r="M58" s="75"/>
    </row>
    <row r="59" spans="13:13" s="68" customFormat="1" hidden="1" x14ac:dyDescent="0.2">
      <c r="M59" s="75"/>
    </row>
    <row r="60" spans="13:13" s="68" customFormat="1" hidden="1" x14ac:dyDescent="0.2">
      <c r="M60" s="75"/>
    </row>
    <row r="61" spans="13:13" s="68" customFormat="1" hidden="1" x14ac:dyDescent="0.2">
      <c r="M61" s="75"/>
    </row>
    <row r="62" spans="13:13" s="68" customFormat="1" hidden="1" x14ac:dyDescent="0.2">
      <c r="M62" s="75"/>
    </row>
    <row r="63" spans="13:13" s="68" customFormat="1" hidden="1" x14ac:dyDescent="0.2">
      <c r="M63" s="75"/>
    </row>
    <row r="64" spans="13:13" s="68" customFormat="1" hidden="1" x14ac:dyDescent="0.2">
      <c r="M64" s="75"/>
    </row>
    <row r="65" spans="13:13" s="68" customFormat="1" hidden="1" x14ac:dyDescent="0.2">
      <c r="M65" s="75"/>
    </row>
    <row r="66" spans="13:13" s="68" customFormat="1" hidden="1" x14ac:dyDescent="0.2">
      <c r="M66" s="75"/>
    </row>
    <row r="67" spans="13:13" s="68" customFormat="1" hidden="1" x14ac:dyDescent="0.2">
      <c r="M67" s="75"/>
    </row>
    <row r="68" spans="13:13" s="68" customFormat="1" hidden="1" x14ac:dyDescent="0.2">
      <c r="M68" s="75"/>
    </row>
    <row r="69" spans="13:13" hidden="1" x14ac:dyDescent="0.2"/>
    <row r="70" spans="13:13" hidden="1" x14ac:dyDescent="0.2"/>
    <row r="71" spans="13:13" hidden="1" x14ac:dyDescent="0.2"/>
    <row r="72" spans="13:13" hidden="1" x14ac:dyDescent="0.2"/>
    <row r="73" spans="13:13" hidden="1" x14ac:dyDescent="0.2"/>
    <row r="74" spans="13:13" hidden="1" x14ac:dyDescent="0.2"/>
    <row r="75" spans="13:13" hidden="1" x14ac:dyDescent="0.2"/>
    <row r="76" spans="13:13" hidden="1" x14ac:dyDescent="0.2"/>
    <row r="77" spans="13:13" hidden="1" x14ac:dyDescent="0.2"/>
    <row r="78" spans="13:13" hidden="1" x14ac:dyDescent="0.2"/>
    <row r="79" spans="13:13" hidden="1" x14ac:dyDescent="0.2"/>
    <row r="80" spans="13:13" hidden="1" x14ac:dyDescent="0.2"/>
    <row r="81" spans="3:13" s="69" customFormat="1" hidden="1" x14ac:dyDescent="0.2">
      <c r="C81" s="55"/>
      <c r="M81" s="75"/>
    </row>
  </sheetData>
  <mergeCells count="1">
    <mergeCell ref="A5:F5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51" fitToHeight="2" orientation="landscape" verticalDpi="300" r:id="rId1"/>
  <headerFooter alignWithMargins="0"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8" topLeftCell="A9" activePane="bottomLeft" state="frozen"/>
      <selection pane="bottomLeft" activeCell="D11" sqref="D11"/>
    </sheetView>
  </sheetViews>
  <sheetFormatPr defaultColWidth="0" defaultRowHeight="16.5" zeroHeight="1" x14ac:dyDescent="0.2"/>
  <cols>
    <col min="1" max="1" width="7" style="45" customWidth="1"/>
    <col min="2" max="2" width="7.42578125" style="45" customWidth="1"/>
    <col min="3" max="4" width="21.140625" style="45" customWidth="1"/>
    <col min="5" max="5" width="20.5703125" style="45" customWidth="1"/>
    <col min="6" max="6" width="19" style="45" customWidth="1"/>
    <col min="7" max="9" width="0" style="45" hidden="1" customWidth="1"/>
    <col min="10" max="16384" width="19" style="45" hidden="1"/>
  </cols>
  <sheetData>
    <row r="1" spans="1:9" s="136" customFormat="1" ht="15.75" x14ac:dyDescent="0.25">
      <c r="A1" s="146" t="s">
        <v>132</v>
      </c>
      <c r="B1" s="146"/>
      <c r="C1" s="135"/>
      <c r="D1" s="135"/>
      <c r="E1" s="135"/>
    </row>
    <row r="2" spans="1:9" s="136" customFormat="1" x14ac:dyDescent="0.2">
      <c r="A2" s="147"/>
      <c r="B2" s="147"/>
      <c r="C2" s="45"/>
      <c r="D2" s="45"/>
    </row>
    <row r="3" spans="1:9" s="137" customFormat="1" ht="17.25" thickBot="1" x14ac:dyDescent="0.3">
      <c r="A3" s="235" t="s">
        <v>118</v>
      </c>
      <c r="B3" s="236"/>
      <c r="C3" s="213" t="s">
        <v>137</v>
      </c>
      <c r="E3" s="46"/>
    </row>
    <row r="4" spans="1:9" s="139" customFormat="1" ht="26.25" customHeight="1" x14ac:dyDescent="0.2">
      <c r="A4" s="233" t="s">
        <v>104</v>
      </c>
      <c r="B4" s="234"/>
      <c r="C4" s="138">
        <v>2020</v>
      </c>
      <c r="E4" s="140"/>
      <c r="F4" s="47"/>
      <c r="G4" s="47"/>
      <c r="I4" s="47"/>
    </row>
    <row r="5" spans="1:9" s="139" customFormat="1" ht="12.75" x14ac:dyDescent="0.2">
      <c r="A5" s="159" t="s">
        <v>105</v>
      </c>
      <c r="B5" s="157"/>
      <c r="C5" s="214">
        <v>43830</v>
      </c>
      <c r="E5" s="140"/>
      <c r="F5" s="47"/>
      <c r="G5" s="47"/>
      <c r="I5" s="47"/>
    </row>
    <row r="6" spans="1:9" s="139" customFormat="1" ht="12.75" x14ac:dyDescent="0.2">
      <c r="A6" s="160" t="s">
        <v>106</v>
      </c>
      <c r="B6" s="158"/>
      <c r="C6" s="215">
        <v>43830</v>
      </c>
      <c r="E6" s="140"/>
      <c r="F6" s="47"/>
      <c r="G6" s="47"/>
      <c r="I6" s="47"/>
    </row>
    <row r="7" spans="1:9" ht="17.25" thickBot="1" x14ac:dyDescent="0.25"/>
    <row r="8" spans="1:9" s="48" customFormat="1" ht="66.75" thickBot="1" x14ac:dyDescent="0.25">
      <c r="A8" s="141" t="s">
        <v>112</v>
      </c>
      <c r="B8" s="142" t="s">
        <v>120</v>
      </c>
      <c r="C8" s="143" t="s">
        <v>128</v>
      </c>
      <c r="D8" s="144" t="s">
        <v>129</v>
      </c>
      <c r="E8" s="145" t="s">
        <v>130</v>
      </c>
    </row>
    <row r="9" spans="1:9" x14ac:dyDescent="0.2">
      <c r="A9" s="131">
        <f>'01- Histórico'!A28</f>
        <v>2019</v>
      </c>
      <c r="B9" s="132">
        <v>0</v>
      </c>
      <c r="C9" s="133">
        <f>'02 - Projeções'!K8/'02 - Projeções'!C8</f>
        <v>0.46964064022335023</v>
      </c>
      <c r="D9" s="133">
        <f>C9/(0.54*0.95)-1</f>
        <v>-8.4521169155262754E-2</v>
      </c>
      <c r="E9" s="134"/>
    </row>
    <row r="10" spans="1:9" x14ac:dyDescent="0.2">
      <c r="A10" s="49">
        <f>A9+1</f>
        <v>2020</v>
      </c>
      <c r="B10" s="125">
        <f>B9+1</f>
        <v>1</v>
      </c>
      <c r="C10" s="126">
        <f>'02 - Projeções'!K9/'02 - Projeções'!C9</f>
        <v>0.47583051015800687</v>
      </c>
      <c r="D10" s="126">
        <f t="shared" ref="D10:D44" si="0">C10/(0.54*0.95)-1</f>
        <v>-7.2455145890824801E-2</v>
      </c>
      <c r="E10" s="50">
        <f>('02 - Projeções'!L9-'02 - Projeções'!L8)/'02 - Projeções'!L8</f>
        <v>-7.671374224371319E-2</v>
      </c>
    </row>
    <row r="11" spans="1:9" x14ac:dyDescent="0.2">
      <c r="A11" s="49">
        <f t="shared" ref="A11:B26" si="1">A10+1</f>
        <v>2021</v>
      </c>
      <c r="B11" s="125">
        <f t="shared" si="1"/>
        <v>2</v>
      </c>
      <c r="C11" s="126">
        <f>'02 - Projeções'!K10/'02 - Projeções'!C10</f>
        <v>0.45366245691290302</v>
      </c>
      <c r="D11" s="126">
        <f t="shared" si="0"/>
        <v>-0.11566772531597858</v>
      </c>
      <c r="E11" s="50">
        <f>('02 - Projeções'!L10-'02 - Projeções'!L9)/'02 - Projeções'!L9</f>
        <v>-7.4572094663303487E-2</v>
      </c>
    </row>
    <row r="12" spans="1:9" x14ac:dyDescent="0.2">
      <c r="A12" s="49">
        <f t="shared" si="1"/>
        <v>2022</v>
      </c>
      <c r="B12" s="125">
        <f t="shared" si="1"/>
        <v>3</v>
      </c>
      <c r="C12" s="126">
        <f>'02 - Projeções'!K11/'02 - Projeções'!C11</f>
        <v>0.43238400567544638</v>
      </c>
      <c r="D12" s="126">
        <f t="shared" si="0"/>
        <v>-0.15714618776716105</v>
      </c>
      <c r="E12" s="50">
        <f>('02 - Projeções'!L11-'02 - Projeções'!L10)/'02 - Projeções'!L10</f>
        <v>-6.9795351071792328E-2</v>
      </c>
    </row>
    <row r="13" spans="1:9" x14ac:dyDescent="0.2">
      <c r="A13" s="49">
        <f t="shared" si="1"/>
        <v>2023</v>
      </c>
      <c r="B13" s="125">
        <f t="shared" si="1"/>
        <v>4</v>
      </c>
      <c r="C13" s="126">
        <f>'02 - Projeções'!K12/'02 - Projeções'!C12</f>
        <v>0.41331831223204335</v>
      </c>
      <c r="D13" s="126">
        <f t="shared" si="0"/>
        <v>-0.19431128219874594</v>
      </c>
      <c r="E13" s="50">
        <f>('02 - Projeções'!L12-'02 - Projeções'!L11)/'02 - Projeções'!L11</f>
        <v>-7.4990696160172426E-2</v>
      </c>
    </row>
    <row r="14" spans="1:9" x14ac:dyDescent="0.2">
      <c r="A14" s="49">
        <f t="shared" si="1"/>
        <v>2024</v>
      </c>
      <c r="B14" s="125">
        <f t="shared" si="1"/>
        <v>5</v>
      </c>
      <c r="C14" s="126">
        <f>'02 - Projeções'!K13/'02 - Projeções'!C13</f>
        <v>0.38494837001663496</v>
      </c>
      <c r="D14" s="126">
        <f t="shared" si="0"/>
        <v>-0.24961331380772911</v>
      </c>
      <c r="E14" s="50">
        <f>('02 - Projeções'!L13-'02 - Projeções'!L12)/'02 - Projeções'!L12</f>
        <v>2.1518416545602412E-2</v>
      </c>
    </row>
    <row r="15" spans="1:9" x14ac:dyDescent="0.2">
      <c r="A15" s="49">
        <f t="shared" si="1"/>
        <v>2025</v>
      </c>
      <c r="B15" s="125">
        <f t="shared" si="1"/>
        <v>6</v>
      </c>
      <c r="C15" s="126">
        <f>'02 - Projeções'!K14/'02 - Projeções'!C14</f>
        <v>0.37554810210158041</v>
      </c>
      <c r="D15" s="126">
        <f t="shared" si="0"/>
        <v>-0.26793742280393684</v>
      </c>
      <c r="E15" s="50">
        <f>('02 - Projeções'!L14-'02 - Projeções'!L13)/'02 - Projeções'!L13</f>
        <v>-5.5740882341836169E-2</v>
      </c>
    </row>
    <row r="16" spans="1:9" x14ac:dyDescent="0.2">
      <c r="A16" s="49">
        <f t="shared" si="1"/>
        <v>2026</v>
      </c>
      <c r="B16" s="125">
        <f t="shared" si="1"/>
        <v>7</v>
      </c>
      <c r="C16" s="126">
        <f>'02 - Projeções'!K15/'02 - Projeções'!C15</f>
        <v>0.35803334003025583</v>
      </c>
      <c r="D16" s="126">
        <f t="shared" si="0"/>
        <v>-0.302079259200281</v>
      </c>
      <c r="E16" s="50">
        <f>('02 - Projeções'!L15-'02 - Projeções'!L14)/'02 - Projeções'!L14</f>
        <v>-5.0247757797574948E-2</v>
      </c>
    </row>
    <row r="17" spans="1:5" x14ac:dyDescent="0.2">
      <c r="A17" s="49">
        <f t="shared" si="1"/>
        <v>2027</v>
      </c>
      <c r="B17" s="125">
        <f t="shared" si="1"/>
        <v>8</v>
      </c>
      <c r="C17" s="126">
        <f>'02 - Projeções'!K16/'02 - Projeções'!C16</f>
        <v>0.34108855195155352</v>
      </c>
      <c r="D17" s="126">
        <f t="shared" si="0"/>
        <v>-0.33511003518215687</v>
      </c>
      <c r="E17" s="50">
        <f>('02 - Projeções'!L16-'02 - Projeções'!L15)/'02 - Projeções'!L15</f>
        <v>-3.944207226206313E-2</v>
      </c>
    </row>
    <row r="18" spans="1:5" x14ac:dyDescent="0.2">
      <c r="A18" s="49">
        <f t="shared" si="1"/>
        <v>2028</v>
      </c>
      <c r="B18" s="125">
        <f t="shared" si="1"/>
        <v>9</v>
      </c>
      <c r="C18" s="126">
        <f>'02 - Projeções'!K17/'02 - Projeções'!C17</f>
        <v>0.32494350710985093</v>
      </c>
      <c r="D18" s="126">
        <f t="shared" si="0"/>
        <v>-0.36658185748567074</v>
      </c>
      <c r="E18" s="50">
        <f>('02 - Projeções'!L17-'02 - Projeções'!L16)/'02 - Projeções'!L16</f>
        <v>-2.7033590812213171E-2</v>
      </c>
    </row>
    <row r="19" spans="1:5" x14ac:dyDescent="0.2">
      <c r="A19" s="49">
        <f t="shared" si="1"/>
        <v>2029</v>
      </c>
      <c r="B19" s="125">
        <f t="shared" si="1"/>
        <v>10</v>
      </c>
      <c r="C19" s="126">
        <f>'02 - Projeções'!K18/'02 - Projeções'!C18</f>
        <v>0.30581134732381371</v>
      </c>
      <c r="D19" s="126">
        <f t="shared" si="0"/>
        <v>-0.40387651593798501</v>
      </c>
      <c r="E19" s="50">
        <f>('02 - Projeções'!L18-'02 - Projeções'!L17)/'02 - Projeções'!L17</f>
        <v>9.4781596015678607E-2</v>
      </c>
    </row>
    <row r="20" spans="1:5" x14ac:dyDescent="0.2">
      <c r="A20" s="49">
        <f t="shared" si="1"/>
        <v>2030</v>
      </c>
      <c r="B20" s="125">
        <f t="shared" si="1"/>
        <v>11</v>
      </c>
      <c r="C20" s="126">
        <f>'02 - Projeções'!K19/'02 - Projeções'!C19</f>
        <v>0.2948157277923445</v>
      </c>
      <c r="D20" s="126">
        <f t="shared" si="0"/>
        <v>-0.42531047213967932</v>
      </c>
      <c r="E20" s="50">
        <f>('02 - Projeções'!L19-'02 - Projeções'!L18)/'02 - Projeções'!L18</f>
        <v>6.6851924951078986E-3</v>
      </c>
    </row>
    <row r="21" spans="1:5" x14ac:dyDescent="0.2">
      <c r="A21" s="49">
        <f t="shared" si="1"/>
        <v>2031</v>
      </c>
      <c r="B21" s="125">
        <f t="shared" si="1"/>
        <v>12</v>
      </c>
      <c r="C21" s="126">
        <f>'02 - Projeções'!K20/'02 - Projeções'!C20</f>
        <v>0.28079629098436049</v>
      </c>
      <c r="D21" s="126">
        <f t="shared" si="0"/>
        <v>-0.45263880899734799</v>
      </c>
      <c r="E21" s="50">
        <f>('02 - Projeções'!L20-'02 - Projeções'!L19)/'02 - Projeções'!L19</f>
        <v>2.1601219197884009E-2</v>
      </c>
    </row>
    <row r="22" spans="1:5" x14ac:dyDescent="0.2">
      <c r="A22" s="49">
        <f t="shared" si="1"/>
        <v>2032</v>
      </c>
      <c r="B22" s="125">
        <f t="shared" si="1"/>
        <v>13</v>
      </c>
      <c r="C22" s="126">
        <f>'02 - Projeções'!K21/'02 - Projeções'!C21</f>
        <v>0.26737738253650561</v>
      </c>
      <c r="D22" s="126">
        <f t="shared" si="0"/>
        <v>-0.47879652526996952</v>
      </c>
      <c r="E22" s="50">
        <f>('02 - Projeções'!L21-'02 - Projeções'!L20)/'02 - Projeções'!L20</f>
        <v>3.8005708953391379E-2</v>
      </c>
    </row>
    <row r="23" spans="1:5" x14ac:dyDescent="0.2">
      <c r="A23" s="49">
        <f t="shared" si="1"/>
        <v>2033</v>
      </c>
      <c r="B23" s="125">
        <f t="shared" si="1"/>
        <v>14</v>
      </c>
      <c r="C23" s="126">
        <f>'02 - Projeções'!K22/'02 - Projeções'!C22</f>
        <v>0.25523211768992343</v>
      </c>
      <c r="D23" s="126">
        <f t="shared" si="0"/>
        <v>-0.50247150547773212</v>
      </c>
      <c r="E23" s="50">
        <f>('02 - Projeções'!L22-'02 - Projeções'!L21)/'02 - Projeções'!L21</f>
        <v>5.2436045107313319E-2</v>
      </c>
    </row>
    <row r="24" spans="1:5" x14ac:dyDescent="0.2">
      <c r="A24" s="49">
        <f t="shared" si="1"/>
        <v>2034</v>
      </c>
      <c r="B24" s="125">
        <f t="shared" si="1"/>
        <v>15</v>
      </c>
      <c r="C24" s="126">
        <f>'02 - Projeções'!K23/'02 - Projeções'!C23</f>
        <v>0.24388604666175848</v>
      </c>
      <c r="D24" s="126">
        <f t="shared" si="0"/>
        <v>-0.5245886029985215</v>
      </c>
      <c r="E24" s="50">
        <f>('02 - Projeções'!L23-'02 - Projeções'!L22)/'02 - Projeções'!L22</f>
        <v>0.15271113556361152</v>
      </c>
    </row>
    <row r="25" spans="1:5" x14ac:dyDescent="0.2">
      <c r="A25" s="49">
        <f t="shared" si="1"/>
        <v>2035</v>
      </c>
      <c r="B25" s="125">
        <f t="shared" si="1"/>
        <v>16</v>
      </c>
      <c r="C25" s="126">
        <f>'02 - Projeções'!K24/'02 - Projeções'!C24</f>
        <v>0.23299422196416392</v>
      </c>
      <c r="D25" s="126">
        <f t="shared" si="0"/>
        <v>-0.5458202300893491</v>
      </c>
      <c r="E25" s="50">
        <f>('02 - Projeções'!L24-'02 - Projeções'!L23)/'02 - Projeções'!L23</f>
        <v>6.0506797273435033E-2</v>
      </c>
    </row>
    <row r="26" spans="1:5" x14ac:dyDescent="0.2">
      <c r="A26" s="49">
        <f t="shared" si="1"/>
        <v>2036</v>
      </c>
      <c r="B26" s="125">
        <f t="shared" si="1"/>
        <v>17</v>
      </c>
      <c r="C26" s="126">
        <f>'02 - Projeções'!K25/'02 - Projeções'!C25</f>
        <v>0.22257905225712799</v>
      </c>
      <c r="D26" s="126">
        <f t="shared" si="0"/>
        <v>-0.5661227051517973</v>
      </c>
      <c r="E26" s="50">
        <f>('02 - Projeções'!L25-'02 - Projeções'!L24)/'02 - Projeções'!L24</f>
        <v>5.3215359693050142E-2</v>
      </c>
    </row>
    <row r="27" spans="1:5" x14ac:dyDescent="0.2">
      <c r="A27" s="49">
        <f t="shared" ref="A27:B42" si="2">A26+1</f>
        <v>2037</v>
      </c>
      <c r="B27" s="125">
        <f t="shared" si="2"/>
        <v>18</v>
      </c>
      <c r="C27" s="126">
        <f>'02 - Projeções'!K26/'02 - Projeções'!C26</f>
        <v>0.21262556125533302</v>
      </c>
      <c r="D27" s="126">
        <f t="shared" si="0"/>
        <v>-0.58552522172449706</v>
      </c>
      <c r="E27" s="50">
        <f>('02 - Projeções'!L26-'02 - Projeções'!L25)/'02 - Projeções'!L25</f>
        <v>5.7915996064914453E-2</v>
      </c>
    </row>
    <row r="28" spans="1:5" x14ac:dyDescent="0.2">
      <c r="A28" s="49">
        <f t="shared" si="2"/>
        <v>2038</v>
      </c>
      <c r="B28" s="125">
        <f t="shared" si="2"/>
        <v>19</v>
      </c>
      <c r="C28" s="126">
        <f>'02 - Projeções'!K27/'02 - Projeções'!C27</f>
        <v>0.20312834280338068</v>
      </c>
      <c r="D28" s="126">
        <f t="shared" si="0"/>
        <v>-0.60403831812206499</v>
      </c>
      <c r="E28" s="50">
        <f>('02 - Projeções'!L27-'02 - Projeções'!L26)/'02 - Projeções'!L26</f>
        <v>6.2403717976623287E-2</v>
      </c>
    </row>
    <row r="29" spans="1:5" x14ac:dyDescent="0.2">
      <c r="A29" s="49">
        <f t="shared" si="2"/>
        <v>2039</v>
      </c>
      <c r="B29" s="125">
        <f t="shared" si="2"/>
        <v>20</v>
      </c>
      <c r="C29" s="126">
        <f>'02 - Projeções'!K28/'02 - Projeções'!C28</f>
        <v>0.19400524713296624</v>
      </c>
      <c r="D29" s="126">
        <f t="shared" si="0"/>
        <v>-0.62182213034509504</v>
      </c>
      <c r="E29" s="50">
        <f>('02 - Projeções'!L28-'02 - Projeções'!L27)/'02 - Projeções'!L27</f>
        <v>0.12568125350621209</v>
      </c>
    </row>
    <row r="30" spans="1:5" x14ac:dyDescent="0.2">
      <c r="A30" s="49">
        <f t="shared" si="2"/>
        <v>2040</v>
      </c>
      <c r="B30" s="125">
        <f t="shared" si="2"/>
        <v>21</v>
      </c>
      <c r="C30" s="126">
        <f>'02 - Projeções'!K29/'02 - Projeções'!C29</f>
        <v>0.18529897570670925</v>
      </c>
      <c r="D30" s="126">
        <f t="shared" si="0"/>
        <v>-0.63879341967503067</v>
      </c>
      <c r="E30" s="50">
        <f>('02 - Projeções'!L29-'02 - Projeções'!L28)/'02 - Projeções'!L28</f>
        <v>6.3173345899566788E-2</v>
      </c>
    </row>
    <row r="31" spans="1:5" x14ac:dyDescent="0.2">
      <c r="A31" s="49">
        <f t="shared" si="2"/>
        <v>2041</v>
      </c>
      <c r="B31" s="125">
        <f t="shared" si="2"/>
        <v>22</v>
      </c>
      <c r="C31" s="126">
        <f>'02 - Projeções'!K30/'02 - Projeções'!C30</f>
        <v>0.17694808160351863</v>
      </c>
      <c r="D31" s="126">
        <f t="shared" si="0"/>
        <v>-0.65507196568514892</v>
      </c>
      <c r="E31" s="50">
        <f>('02 - Projeções'!L30-'02 - Projeções'!L29)/'02 - Projeções'!L29</f>
        <v>6.1485986959400753E-2</v>
      </c>
    </row>
    <row r="32" spans="1:5" x14ac:dyDescent="0.2">
      <c r="A32" s="49">
        <f t="shared" si="2"/>
        <v>2042</v>
      </c>
      <c r="B32" s="125">
        <f t="shared" si="2"/>
        <v>23</v>
      </c>
      <c r="C32" s="126">
        <f>'02 - Projeções'!K31/'02 - Projeções'!C31</f>
        <v>0.16902121872011178</v>
      </c>
      <c r="D32" s="126">
        <f t="shared" si="0"/>
        <v>-0.6705239401167411</v>
      </c>
      <c r="E32" s="50">
        <f>('02 - Projeções'!L31-'02 - Projeções'!L30)/'02 - Projeções'!L30</f>
        <v>6.172710020442973E-2</v>
      </c>
    </row>
    <row r="33" spans="1:5" x14ac:dyDescent="0.2">
      <c r="A33" s="49">
        <f t="shared" si="2"/>
        <v>2043</v>
      </c>
      <c r="B33" s="125">
        <f t="shared" si="2"/>
        <v>24</v>
      </c>
      <c r="C33" s="126">
        <f>'02 - Projeções'!K32/'02 - Projeções'!C32</f>
        <v>0.161448920851889</v>
      </c>
      <c r="D33" s="126">
        <f t="shared" si="0"/>
        <v>-0.68528475467468031</v>
      </c>
      <c r="E33" s="50">
        <f>('02 - Projeções'!L32-'02 - Projeções'!L31)/'02 - Projeções'!L31</f>
        <v>6.1188703578670137E-2</v>
      </c>
    </row>
    <row r="34" spans="1:5" x14ac:dyDescent="0.2">
      <c r="A34" s="49">
        <f t="shared" si="2"/>
        <v>2044</v>
      </c>
      <c r="B34" s="125">
        <f t="shared" si="2"/>
        <v>25</v>
      </c>
      <c r="C34" s="126">
        <f>'02 - Projeções'!K33/'02 - Projeções'!C33</f>
        <v>0.15421389613764258</v>
      </c>
      <c r="D34" s="126">
        <f t="shared" si="0"/>
        <v>-0.69938811669075518</v>
      </c>
      <c r="E34" s="50">
        <f>('02 - Projeções'!L33-'02 - Projeções'!L32)/'02 - Projeções'!L32</f>
        <v>0.10300506380431353</v>
      </c>
    </row>
    <row r="35" spans="1:5" x14ac:dyDescent="0.2">
      <c r="A35" s="49">
        <f t="shared" si="2"/>
        <v>2045</v>
      </c>
      <c r="B35" s="125">
        <f t="shared" si="2"/>
        <v>26</v>
      </c>
      <c r="C35" s="126">
        <f>'02 - Projeções'!K34/'02 - Projeções'!C34</f>
        <v>0.14732904176280703</v>
      </c>
      <c r="D35" s="126">
        <f t="shared" si="0"/>
        <v>-0.71280888545261789</v>
      </c>
      <c r="E35" s="50">
        <f>('02 - Projeções'!L34-'02 - Projeções'!L33)/'02 - Projeções'!L33</f>
        <v>5.8286952919324335E-2</v>
      </c>
    </row>
    <row r="36" spans="1:5" x14ac:dyDescent="0.2">
      <c r="A36" s="49">
        <f t="shared" si="2"/>
        <v>2046</v>
      </c>
      <c r="B36" s="125">
        <f>B35+1</f>
        <v>27</v>
      </c>
      <c r="C36" s="126">
        <f>'02 - Projeções'!K35/'02 - Projeções'!C35</f>
        <v>0.1407461968685747</v>
      </c>
      <c r="D36" s="126">
        <f t="shared" si="0"/>
        <v>-0.7256409417766575</v>
      </c>
      <c r="E36" s="50">
        <f>('02 - Projeções'!L35-'02 - Projeções'!L34)/'02 - Projeções'!L34</f>
        <v>5.6777028819557346E-2</v>
      </c>
    </row>
    <row r="37" spans="1:5" x14ac:dyDescent="0.2">
      <c r="A37" s="49">
        <f t="shared" si="2"/>
        <v>2047</v>
      </c>
      <c r="B37" s="125">
        <f t="shared" si="2"/>
        <v>28</v>
      </c>
      <c r="C37" s="126">
        <f>'02 - Projeções'!K36/'02 - Projeções'!C36</f>
        <v>0.13449542805774034</v>
      </c>
      <c r="D37" s="126">
        <f t="shared" si="0"/>
        <v>-0.73782567630070117</v>
      </c>
      <c r="E37" s="50">
        <f>('02 - Projeções'!L36-'02 - Projeções'!L35)/'02 - Projeções'!L35</f>
        <v>5.6434116946994198E-2</v>
      </c>
    </row>
    <row r="38" spans="1:5" x14ac:dyDescent="0.2">
      <c r="A38" s="49">
        <f t="shared" si="2"/>
        <v>2048</v>
      </c>
      <c r="B38" s="125">
        <f t="shared" si="2"/>
        <v>29</v>
      </c>
      <c r="C38" s="126">
        <f>'02 - Projeções'!K37/'02 - Projeções'!C37</f>
        <v>0.12857903836292145</v>
      </c>
      <c r="D38" s="126">
        <f t="shared" si="0"/>
        <v>-0.74935859968241436</v>
      </c>
      <c r="E38" s="50">
        <f>('02 - Projeções'!L37-'02 - Projeções'!L36)/'02 - Projeções'!L36</f>
        <v>5.807201360614625E-2</v>
      </c>
    </row>
    <row r="39" spans="1:5" x14ac:dyDescent="0.2">
      <c r="A39" s="49">
        <f t="shared" si="2"/>
        <v>2049</v>
      </c>
      <c r="B39" s="125">
        <f t="shared" si="2"/>
        <v>30</v>
      </c>
      <c r="C39" s="126">
        <f>'02 - Projeções'!K38/'02 - Projeções'!C38</f>
        <v>0.12294087649814453</v>
      </c>
      <c r="D39" s="126">
        <f t="shared" si="0"/>
        <v>-0.76034916861960133</v>
      </c>
      <c r="E39" s="50">
        <f>('02 - Projeções'!L38-'02 - Projeções'!L37)/'02 - Projeções'!L37</f>
        <v>9.1079471355180255E-2</v>
      </c>
    </row>
    <row r="40" spans="1:5" x14ac:dyDescent="0.2">
      <c r="A40" s="49">
        <f t="shared" si="2"/>
        <v>2050</v>
      </c>
      <c r="B40" s="125">
        <f t="shared" si="2"/>
        <v>31</v>
      </c>
      <c r="C40" s="126">
        <f>'02 - Projeções'!K39/'02 - Projeções'!C39</f>
        <v>0.11755675230747048</v>
      </c>
      <c r="D40" s="126">
        <f t="shared" si="0"/>
        <v>-0.77084453741233827</v>
      </c>
      <c r="E40" s="50">
        <f>('02 - Projeções'!L39-'02 - Projeções'!L38)/'02 - Projeções'!L38</f>
        <v>6.0282407619515005E-2</v>
      </c>
    </row>
    <row r="41" spans="1:5" x14ac:dyDescent="0.2">
      <c r="A41" s="49">
        <f t="shared" si="2"/>
        <v>2051</v>
      </c>
      <c r="B41" s="125">
        <f t="shared" si="2"/>
        <v>32</v>
      </c>
      <c r="C41" s="126">
        <f>'02 - Projeções'!K40/'02 - Projeções'!C40</f>
        <v>0.11244070007881136</v>
      </c>
      <c r="D41" s="126">
        <f t="shared" si="0"/>
        <v>-0.78081734877424691</v>
      </c>
      <c r="E41" s="50">
        <f>('02 - Projeções'!L40-'02 - Projeções'!L39)/'02 - Projeções'!L39</f>
        <v>6.2030179118867171E-2</v>
      </c>
    </row>
    <row r="42" spans="1:5" x14ac:dyDescent="0.2">
      <c r="A42" s="49">
        <f t="shared" si="2"/>
        <v>2052</v>
      </c>
      <c r="B42" s="125">
        <f t="shared" si="2"/>
        <v>33</v>
      </c>
      <c r="C42" s="126">
        <f>'02 - Projeções'!K41/'02 - Projeções'!C41</f>
        <v>0.1075581512956877</v>
      </c>
      <c r="D42" s="126">
        <f t="shared" si="0"/>
        <v>-0.79033498772770427</v>
      </c>
      <c r="E42" s="50">
        <f>('02 - Projeções'!L41-'02 - Projeções'!L40)/'02 - Projeções'!L40</f>
        <v>6.3545287626645228E-2</v>
      </c>
    </row>
    <row r="43" spans="1:5" x14ac:dyDescent="0.2">
      <c r="A43" s="49">
        <f>A42+1</f>
        <v>2053</v>
      </c>
      <c r="B43" s="125">
        <f>B42+1</f>
        <v>34</v>
      </c>
      <c r="C43" s="126">
        <f>'02 - Projeções'!K42/'02 - Projeções'!C42</f>
        <v>0.10291775926823331</v>
      </c>
      <c r="D43" s="126">
        <f t="shared" si="0"/>
        <v>-0.79938058622176744</v>
      </c>
      <c r="E43" s="50">
        <f>('02 - Projeções'!L42-'02 - Projeções'!L41)/'02 - Projeções'!L41</f>
        <v>6.5618470421804742E-2</v>
      </c>
    </row>
    <row r="44" spans="1:5" ht="17.25" thickBot="1" x14ac:dyDescent="0.25">
      <c r="A44" s="127">
        <f>A43+1</f>
        <v>2054</v>
      </c>
      <c r="B44" s="128">
        <f>B43+1</f>
        <v>35</v>
      </c>
      <c r="C44" s="129">
        <f>'02 - Projeções'!K43/'02 - Projeções'!C43</f>
        <v>9.8477756400967648E-2</v>
      </c>
      <c r="D44" s="129">
        <f t="shared" si="0"/>
        <v>-0.80803556257121323</v>
      </c>
      <c r="E44" s="130">
        <f>('02 - Projeções'!L43-'02 - Projeções'!L42)/'02 - Projeções'!L42</f>
        <v>8.958373803055919E-2</v>
      </c>
    </row>
    <row r="45" spans="1:5" s="51" customFormat="1" x14ac:dyDescent="0.2"/>
    <row r="46" spans="1:5" s="51" customFormat="1" hidden="1" x14ac:dyDescent="0.2"/>
    <row r="47" spans="1:5" s="51" customFormat="1" hidden="1" x14ac:dyDescent="0.2"/>
    <row r="48" spans="1:5" s="51" customFormat="1" hidden="1" x14ac:dyDescent="0.2"/>
    <row r="49" s="51" customFormat="1" hidden="1" x14ac:dyDescent="0.2"/>
    <row r="50" s="51" customFormat="1" hidden="1" x14ac:dyDescent="0.2"/>
    <row r="51" s="51" customFormat="1" hidden="1" x14ac:dyDescent="0.2"/>
    <row r="52" s="51" customFormat="1" hidden="1" x14ac:dyDescent="0.2"/>
    <row r="53" s="51" customFormat="1" hidden="1" x14ac:dyDescent="0.2"/>
    <row r="54" s="51" customFormat="1" hidden="1" x14ac:dyDescent="0.2"/>
    <row r="55" s="51" customFormat="1" hidden="1" x14ac:dyDescent="0.2"/>
    <row r="56" s="51" customFormat="1" hidden="1" x14ac:dyDescent="0.2"/>
    <row r="57" s="51" customFormat="1" hidden="1" x14ac:dyDescent="0.2"/>
    <row r="58" s="51" customFormat="1" hidden="1" x14ac:dyDescent="0.2"/>
    <row r="59" s="51" customFormat="1" hidden="1" x14ac:dyDescent="0.2"/>
    <row r="60" s="51" customFormat="1" hidden="1" x14ac:dyDescent="0.2"/>
    <row r="61" s="51" customFormat="1" hidden="1" x14ac:dyDescent="0.2"/>
    <row r="62" s="51" customFormat="1" hidden="1" x14ac:dyDescent="0.2"/>
    <row r="63" s="51" customFormat="1" hidden="1" x14ac:dyDescent="0.2"/>
    <row r="64" s="51" customFormat="1" hidden="1" x14ac:dyDescent="0.2"/>
    <row r="65" s="51" customFormat="1" hidden="1" x14ac:dyDescent="0.2"/>
    <row r="66" s="51" customFormat="1" hidden="1" x14ac:dyDescent="0.2"/>
    <row r="67" s="51" customFormat="1" hidden="1" x14ac:dyDescent="0.2"/>
    <row r="68" s="51" customFormat="1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3:4" s="52" customFormat="1" hidden="1" x14ac:dyDescent="0.2">
      <c r="C81" s="45"/>
      <c r="D81" s="45"/>
    </row>
  </sheetData>
  <mergeCells count="2">
    <mergeCell ref="A4:B4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66546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Fluxo e Duração do Passivo</vt:lpstr>
      <vt:lpstr>Anexo 1 - Despesa com Pessoal </vt:lpstr>
      <vt:lpstr>01- Histórico</vt:lpstr>
      <vt:lpstr>02 - Projeções</vt:lpstr>
      <vt:lpstr>03 - Indicadores </vt:lpstr>
      <vt:lpstr>'01- Histórico'!Area_de_impressao</vt:lpstr>
      <vt:lpstr>'02 - Projeções'!Area_de_impressao</vt:lpstr>
      <vt:lpstr>'01- Histórico'!Titulos_de_impressao</vt:lpstr>
      <vt:lpstr>'02 - Projeções'!Titulos_de_impressao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Aparecida Silva</dc:creator>
  <cp:lastModifiedBy>PAULO CESAR DA FONSECA</cp:lastModifiedBy>
  <dcterms:created xsi:type="dcterms:W3CDTF">2015-01-12T14:28:52Z</dcterms:created>
  <dcterms:modified xsi:type="dcterms:W3CDTF">2020-04-30T19:05:23Z</dcterms:modified>
</cp:coreProperties>
</file>